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C:\Users\xing&amp;han\Desktop\三亚御府项目\"/>
    </mc:Choice>
  </mc:AlternateContent>
  <xr:revisionPtr revIDLastSave="0" documentId="13_ncr:1_{0A6046E3-4825-458E-AF07-9D2664F8DB0F}" xr6:coauthVersionLast="45" xr6:coauthVersionMax="45" xr10:uidLastSave="{00000000-0000-0000-0000-000000000000}"/>
  <bookViews>
    <workbookView xWindow="-110" yWindow="-110" windowWidth="19420" windowHeight="1042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78" r:id="rId23"/>
    <sheet name="假设开发法" sheetId="12" r:id="rId24"/>
    <sheet name="收益法" sheetId="15" r:id="rId25"/>
    <sheet name="收益法 (元)" sheetId="67" state="hidden" r:id="rId26"/>
    <sheet name="收益法（汇总）" sheetId="70" state="hidden" r:id="rId27"/>
    <sheet name="酒店收入计算" sheetId="66" state="hidden" r:id="rId28"/>
    <sheet name="收益法 (商业)" sheetId="80" r:id="rId29"/>
    <sheet name="比较法-住宅" sheetId="21" r:id="rId30"/>
    <sheet name="比较法-商业" sheetId="33" r:id="rId31"/>
    <sheet name="比较法-办公" sheetId="34"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Sheet2" sheetId="79"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抵押物清单!$A$2:$K$1344</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8">'收益法 (商业)'!$A$1:$AK$69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88" i="9" l="1"/>
  <c r="Q72" i="80" l="1"/>
  <c r="F60" i="80"/>
  <c r="Q59" i="80"/>
  <c r="K59" i="80"/>
  <c r="P74" i="80" s="1"/>
  <c r="Q58" i="80"/>
  <c r="Q51" i="80"/>
  <c r="J51" i="80"/>
  <c r="J50" i="80"/>
  <c r="M47" i="80"/>
  <c r="D46" i="80"/>
  <c r="F34" i="80"/>
  <c r="F62" i="80" s="1"/>
  <c r="F33" i="80"/>
  <c r="F61" i="80" s="1"/>
  <c r="F32" i="80"/>
  <c r="F28" i="80"/>
  <c r="C28" i="80"/>
  <c r="F23" i="80"/>
  <c r="D24" i="80" s="1"/>
  <c r="D23" i="80"/>
  <c r="D22" i="80"/>
  <c r="F21" i="80"/>
  <c r="M20" i="80"/>
  <c r="F20" i="80"/>
  <c r="M19" i="80"/>
  <c r="M18" i="80"/>
  <c r="F18" i="80"/>
  <c r="F17" i="80"/>
  <c r="F15" i="80"/>
  <c r="G1" i="80"/>
  <c r="I46" i="39"/>
  <c r="G46" i="39"/>
  <c r="E46" i="39"/>
  <c r="O71" i="39"/>
  <c r="E71" i="39"/>
  <c r="F71" i="39" s="1"/>
  <c r="G71" i="39" s="1"/>
  <c r="H71" i="39" s="1"/>
  <c r="I71" i="39" s="1"/>
  <c r="J71" i="39" s="1"/>
  <c r="K71" i="39" s="1"/>
  <c r="L71" i="39" s="1"/>
  <c r="M71" i="39" s="1"/>
  <c r="N71" i="39" s="1"/>
  <c r="D71" i="39"/>
  <c r="I38" i="39"/>
  <c r="I7" i="39"/>
  <c r="I5" i="39"/>
  <c r="G38" i="39"/>
  <c r="E38" i="39"/>
  <c r="C38" i="39"/>
  <c r="G7" i="39"/>
  <c r="E7" i="39"/>
  <c r="G5" i="39"/>
  <c r="E5" i="39"/>
  <c r="N22" i="77"/>
  <c r="N21" i="77"/>
  <c r="N20" i="77"/>
  <c r="N23" i="77"/>
  <c r="N16" i="77"/>
  <c r="N15" i="77"/>
  <c r="N14" i="77"/>
  <c r="N13" i="77"/>
  <c r="N12" i="77"/>
  <c r="N11" i="77"/>
  <c r="N10" i="77"/>
  <c r="N6" i="77"/>
  <c r="N5" i="77"/>
  <c r="M23" i="77"/>
  <c r="M21" i="77"/>
  <c r="M20" i="77"/>
  <c r="M19" i="77"/>
  <c r="M18" i="77"/>
  <c r="M10" i="77"/>
  <c r="M22" i="77" s="1"/>
  <c r="M11" i="77"/>
  <c r="M6" i="77"/>
  <c r="M3" i="77"/>
  <c r="M14" i="77"/>
  <c r="M12" i="77"/>
  <c r="M16" i="77" s="1"/>
  <c r="AL41" i="3"/>
  <c r="AD41" i="3"/>
  <c r="AL40" i="3"/>
  <c r="AL39" i="3"/>
  <c r="AL38" i="3"/>
  <c r="AL37" i="3"/>
  <c r="AL36" i="3"/>
  <c r="AL35" i="3"/>
  <c r="AL34" i="3"/>
  <c r="AL33" i="3"/>
  <c r="F40" i="80"/>
  <c r="M24" i="80"/>
  <c r="M27" i="80"/>
  <c r="L47" i="80"/>
  <c r="C76" i="80"/>
  <c r="F37" i="80"/>
  <c r="F8" i="80"/>
  <c r="L48" i="80"/>
  <c r="J15" i="80"/>
  <c r="F6" i="80"/>
  <c r="M9" i="80"/>
  <c r="F26" i="80"/>
  <c r="M23" i="80"/>
  <c r="F65" i="80" l="1"/>
  <c r="Q71" i="80"/>
  <c r="F51" i="80"/>
  <c r="F68" i="80"/>
  <c r="N59" i="80"/>
  <c r="L58" i="80"/>
  <c r="L57" i="80"/>
  <c r="L56" i="80"/>
  <c r="I54" i="80"/>
  <c r="L60" i="80"/>
  <c r="J60" i="80"/>
  <c r="Q48" i="80" s="1"/>
  <c r="P61" i="80"/>
  <c r="C27" i="80"/>
  <c r="J57" i="80"/>
  <c r="J55" i="80" s="1"/>
  <c r="J58" i="80" s="1"/>
  <c r="Q50" i="80" s="1"/>
  <c r="J59" i="80"/>
  <c r="J9" i="1"/>
  <c r="J8" i="1"/>
  <c r="J7" i="1"/>
  <c r="F13" i="4"/>
  <c r="S22" i="3"/>
  <c r="K14" i="3"/>
  <c r="I14" i="3" s="1"/>
  <c r="J23" i="77"/>
  <c r="K22" i="77"/>
  <c r="J22" i="77"/>
  <c r="K30" i="3" s="1"/>
  <c r="L30" i="3" s="1"/>
  <c r="K21" i="77"/>
  <c r="J21" i="77"/>
  <c r="O21" i="77" s="1"/>
  <c r="K20" i="77"/>
  <c r="J20" i="77"/>
  <c r="O20" i="77" s="1"/>
  <c r="H22" i="77"/>
  <c r="H21" i="77"/>
  <c r="H20" i="77"/>
  <c r="K19" i="77"/>
  <c r="J19" i="77"/>
  <c r="O19" i="77" s="1"/>
  <c r="K18" i="77"/>
  <c r="J18" i="77"/>
  <c r="O18" i="77" s="1"/>
  <c r="H19" i="77"/>
  <c r="H18" i="77"/>
  <c r="K17" i="77"/>
  <c r="J17" i="77"/>
  <c r="O17" i="77" s="1"/>
  <c r="K16" i="77"/>
  <c r="J16" i="77"/>
  <c r="K15" i="77"/>
  <c r="J15" i="77"/>
  <c r="F22" i="6" s="1"/>
  <c r="K14" i="77"/>
  <c r="J14" i="77"/>
  <c r="T22" i="3" s="1"/>
  <c r="K13" i="77"/>
  <c r="J13" i="77"/>
  <c r="K12" i="77"/>
  <c r="J12" i="77"/>
  <c r="K10" i="77"/>
  <c r="J10" i="77"/>
  <c r="K11" i="77"/>
  <c r="J11" i="77"/>
  <c r="J29" i="3" s="1"/>
  <c r="K9" i="77"/>
  <c r="J9" i="77"/>
  <c r="O9" i="77" s="1"/>
  <c r="K8" i="77"/>
  <c r="J8" i="77"/>
  <c r="K7" i="77"/>
  <c r="J7" i="77"/>
  <c r="K6" i="77"/>
  <c r="J6" i="77"/>
  <c r="K5" i="77"/>
  <c r="J5" i="77"/>
  <c r="J26" i="3" s="1"/>
  <c r="K4" i="77"/>
  <c r="J4" i="77"/>
  <c r="K3" i="77"/>
  <c r="J3" i="77"/>
  <c r="M22" i="80"/>
  <c r="F9" i="80"/>
  <c r="M6" i="80"/>
  <c r="F38" i="80"/>
  <c r="F13" i="80"/>
  <c r="F42" i="80"/>
  <c r="M26" i="80"/>
  <c r="M28" i="80"/>
  <c r="M8" i="80"/>
  <c r="F36" i="80"/>
  <c r="F16" i="80"/>
  <c r="K20" i="3" l="1"/>
  <c r="N1349" i="77"/>
  <c r="P1349" i="77" s="1"/>
  <c r="O16" i="77"/>
  <c r="N1348" i="77"/>
  <c r="O11" i="77"/>
  <c r="O22" i="77"/>
  <c r="F64" i="80"/>
  <c r="F66" i="80"/>
  <c r="L46" i="80"/>
  <c r="Q73" i="80"/>
  <c r="Q60" i="80"/>
  <c r="Q66" i="80"/>
  <c r="Q57" i="80"/>
  <c r="O23" i="77"/>
  <c r="J27" i="3"/>
  <c r="O3" i="77"/>
  <c r="J14" i="3"/>
  <c r="O7" i="77"/>
  <c r="I30" i="3"/>
  <c r="J30" i="3" s="1"/>
  <c r="O10" i="77"/>
  <c r="O5" i="77"/>
  <c r="J13" i="3"/>
  <c r="O4" i="77"/>
  <c r="J28" i="3"/>
  <c r="O6" i="77"/>
  <c r="J15" i="3"/>
  <c r="O8" i="77"/>
  <c r="F21" i="6"/>
  <c r="S20" i="3"/>
  <c r="T20" i="3" s="1"/>
  <c r="L24" i="3"/>
  <c r="L14" i="3"/>
  <c r="L20" i="3"/>
  <c r="J24" i="77"/>
  <c r="K24" i="77"/>
  <c r="F1344" i="77"/>
  <c r="BD27" i="3"/>
  <c r="AD25" i="3"/>
  <c r="O19" i="3"/>
  <c r="AL18" i="3"/>
  <c r="N1350" i="77" l="1"/>
  <c r="P1348" i="77"/>
  <c r="P1350" i="77" s="1"/>
  <c r="O1350" i="77" s="1"/>
  <c r="O1345" i="77"/>
  <c r="BC24" i="3"/>
  <c r="Q6" i="71"/>
  <c r="P6" i="71"/>
  <c r="O6" i="71"/>
  <c r="N6" i="71"/>
  <c r="AH5" i="71"/>
  <c r="AG5" i="71"/>
  <c r="AE5" i="71"/>
  <c r="AF5" i="71" s="1"/>
  <c r="AD5" i="71"/>
  <c r="Q5" i="71"/>
  <c r="P5" i="71"/>
  <c r="O5" i="71"/>
  <c r="N5" i="71"/>
  <c r="AH6" i="71"/>
  <c r="AG6" i="71"/>
  <c r="AE6" i="71"/>
  <c r="AF6" i="71" s="1"/>
  <c r="AD6" i="71"/>
  <c r="Q7" i="71"/>
  <c r="Q8" i="71"/>
  <c r="P7" i="71"/>
  <c r="P8" i="71"/>
  <c r="O7" i="71"/>
  <c r="O8" i="71"/>
  <c r="N7" i="71"/>
  <c r="N8" i="71"/>
  <c r="AH7" i="71"/>
  <c r="AG7" i="71"/>
  <c r="AE7" i="71"/>
  <c r="AF7" i="71"/>
  <c r="AD7" i="71"/>
  <c r="F24" i="12"/>
  <c r="F7" i="69"/>
  <c r="C7" i="69" s="1"/>
  <c r="F7" i="68"/>
  <c r="M15" i="45"/>
  <c r="L15" i="45"/>
  <c r="K15" i="45"/>
  <c r="J15" i="45"/>
  <c r="I15" i="45"/>
  <c r="H15" i="45"/>
  <c r="G15" i="45"/>
  <c r="F15" i="45"/>
  <c r="E15" i="45"/>
  <c r="D15" i="45"/>
  <c r="C15" i="45"/>
  <c r="B15" i="45"/>
  <c r="AH8" i="71"/>
  <c r="AG8" i="71"/>
  <c r="AE8" i="71"/>
  <c r="AF8" i="71" s="1"/>
  <c r="AD8" i="71"/>
  <c r="AD9" i="71"/>
  <c r="AH9" i="71"/>
  <c r="AG9" i="71"/>
  <c r="AE9" i="71"/>
  <c r="AF9" i="71" s="1"/>
  <c r="Q9" i="71"/>
  <c r="P9" i="71"/>
  <c r="O9" i="71"/>
  <c r="N9" i="71"/>
  <c r="L3" i="71"/>
  <c r="AH3" i="71"/>
  <c r="K3" i="71"/>
  <c r="AG3" i="71" s="1"/>
  <c r="J3" i="71"/>
  <c r="AE3" i="71"/>
  <c r="I3" i="71"/>
  <c r="AH10" i="71"/>
  <c r="AG10" i="71"/>
  <c r="AE10" i="71"/>
  <c r="AF10" i="71" s="1"/>
  <c r="AD10" i="71"/>
  <c r="Q10" i="71"/>
  <c r="Q11" i="71"/>
  <c r="P10" i="71"/>
  <c r="P11" i="71"/>
  <c r="O10" i="71"/>
  <c r="O11" i="71"/>
  <c r="N10" i="71"/>
  <c r="N11" i="71"/>
  <c r="N12" i="71"/>
  <c r="AH11" i="71"/>
  <c r="AG11" i="71"/>
  <c r="AE11" i="71"/>
  <c r="AF11" i="71" s="1"/>
  <c r="AD11" i="71"/>
  <c r="Q12" i="71"/>
  <c r="P12" i="71"/>
  <c r="O12" i="71"/>
  <c r="M19" i="43"/>
  <c r="D14" i="71"/>
  <c r="AH12" i="71"/>
  <c r="AG12" i="71"/>
  <c r="AE12" i="71"/>
  <c r="AF12" i="71" s="1"/>
  <c r="AD12" i="71"/>
  <c r="AD13" i="71"/>
  <c r="AG13" i="71"/>
  <c r="AH13" i="71"/>
  <c r="AE13" i="71"/>
  <c r="AF13" i="71" s="1"/>
  <c r="N13" i="71"/>
  <c r="Q13" i="71"/>
  <c r="P13" i="71"/>
  <c r="O13" i="71"/>
  <c r="Q14" i="71"/>
  <c r="F13" i="71"/>
  <c r="F12" i="71" s="1"/>
  <c r="F11" i="71" s="1"/>
  <c r="P14" i="71"/>
  <c r="O14" i="71"/>
  <c r="N14" i="71"/>
  <c r="A2" i="53"/>
  <c r="B19" i="72" s="1"/>
  <c r="K59" i="67"/>
  <c r="P61" i="67"/>
  <c r="K59" i="15"/>
  <c r="P61" i="15" s="1"/>
  <c r="P74" i="67"/>
  <c r="D116" i="39"/>
  <c r="E116" i="39"/>
  <c r="F116" i="39"/>
  <c r="G116" i="39"/>
  <c r="H116" i="39"/>
  <c r="I116" i="39"/>
  <c r="J116" i="39"/>
  <c r="K116" i="39"/>
  <c r="L116" i="39"/>
  <c r="M116" i="39"/>
  <c r="C116" i="39"/>
  <c r="A21" i="62"/>
  <c r="B67" i="72" s="1"/>
  <c r="A20" i="62"/>
  <c r="A22" i="51"/>
  <c r="B17" i="72" s="1"/>
  <c r="A21" i="51"/>
  <c r="A20" i="51"/>
  <c r="A15" i="62"/>
  <c r="A14" i="62"/>
  <c r="B60" i="72" s="1"/>
  <c r="A13" i="62"/>
  <c r="B59" i="72"/>
  <c r="A19" i="62"/>
  <c r="B65" i="72" s="1"/>
  <c r="A12" i="62"/>
  <c r="B58" i="72" s="1"/>
  <c r="A120" i="9"/>
  <c r="H2" i="52"/>
  <c r="A1" i="52"/>
  <c r="A3" i="53"/>
  <c r="Q15" i="71"/>
  <c r="P15" i="71"/>
  <c r="O15" i="71"/>
  <c r="N15"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B8" i="72"/>
  <c r="O16" i="71"/>
  <c r="P16" i="71"/>
  <c r="Q16" i="71"/>
  <c r="AB16" i="71" s="1"/>
  <c r="N16"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H28" i="71"/>
  <c r="AG28" i="71"/>
  <c r="AE28" i="71"/>
  <c r="AF28" i="71" s="1"/>
  <c r="AD28" i="71"/>
  <c r="AD29" i="71"/>
  <c r="AE29" i="71"/>
  <c r="AF29" i="71" s="1"/>
  <c r="AG29" i="71"/>
  <c r="AH29" i="71"/>
  <c r="S2" i="31"/>
  <c r="M2" i="31"/>
  <c r="N2" i="31"/>
  <c r="O2" i="31"/>
  <c r="P2" i="31"/>
  <c r="Q2" i="31"/>
  <c r="R2" i="31"/>
  <c r="C1" i="73"/>
  <c r="L1" i="73" s="1"/>
  <c r="B74" i="72"/>
  <c r="Y12" i="43"/>
  <c r="Y10" i="43"/>
  <c r="AJ9" i="43"/>
  <c r="AJ12" i="43" s="1"/>
  <c r="AI9" i="43"/>
  <c r="AI12" i="43" s="1"/>
  <c r="AH9" i="43"/>
  <c r="AH12" i="43" s="1"/>
  <c r="AG9" i="43"/>
  <c r="AF9" i="43"/>
  <c r="AF12" i="43" s="1"/>
  <c r="AE9" i="43"/>
  <c r="AD9" i="43"/>
  <c r="AD12" i="43" s="1"/>
  <c r="AC9" i="43"/>
  <c r="AB9" i="43"/>
  <c r="AB12" i="43" s="1"/>
  <c r="AA9" i="43"/>
  <c r="AA12" i="43" s="1"/>
  <c r="Z9" i="43"/>
  <c r="Z12" i="43" s="1"/>
  <c r="AB10" i="43"/>
  <c r="AF10" i="43"/>
  <c r="AJ10" i="43"/>
  <c r="K49" i="9"/>
  <c r="E107" i="9"/>
  <c r="A122" i="9" s="1"/>
  <c r="A8" i="52" s="1"/>
  <c r="E111" i="9"/>
  <c r="A126" i="9" s="1"/>
  <c r="A12" i="52" s="1"/>
  <c r="B56" i="72" s="1"/>
  <c r="E109" i="9"/>
  <c r="A124" i="9" s="1"/>
  <c r="A10" i="52" s="1"/>
  <c r="B55" i="72" s="1"/>
  <c r="B44" i="72"/>
  <c r="B42" i="72"/>
  <c r="B69" i="72"/>
  <c r="B68" i="72"/>
  <c r="B63" i="72"/>
  <c r="B62" i="72"/>
  <c r="B16" i="72"/>
  <c r="B66" i="72"/>
  <c r="B10" i="72"/>
  <c r="C53" i="10"/>
  <c r="B51" i="10"/>
  <c r="A18" i="51"/>
  <c r="B13" i="72" s="1"/>
  <c r="B49" i="48"/>
  <c r="B5" i="72"/>
  <c r="I19" i="43"/>
  <c r="D78" i="71"/>
  <c r="F77" i="71"/>
  <c r="E77" i="71"/>
  <c r="E76" i="71" s="1"/>
  <c r="E75" i="71"/>
  <c r="C77" i="71"/>
  <c r="D77" i="71"/>
  <c r="B77" i="71"/>
  <c r="F76" i="71"/>
  <c r="F75" i="71" s="1"/>
  <c r="B76" i="71"/>
  <c r="B75" i="71" s="1"/>
  <c r="D74" i="71"/>
  <c r="F73" i="71"/>
  <c r="E73" i="71"/>
  <c r="E72" i="71" s="1"/>
  <c r="E71" i="71" s="1"/>
  <c r="C73" i="71"/>
  <c r="D73" i="71"/>
  <c r="B73" i="71"/>
  <c r="F72" i="71"/>
  <c r="F71" i="71" s="1"/>
  <c r="B72" i="71"/>
  <c r="B71" i="71" s="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E57" i="71"/>
  <c r="P57" i="71" s="1"/>
  <c r="C57" i="71"/>
  <c r="B57" i="71"/>
  <c r="S57" i="71"/>
  <c r="B56" i="71"/>
  <c r="D54" i="71"/>
  <c r="Q53" i="71"/>
  <c r="P53" i="71"/>
  <c r="O53" i="71"/>
  <c r="N53" i="71"/>
  <c r="Q52" i="71"/>
  <c r="P52" i="71"/>
  <c r="O52" i="71"/>
  <c r="N52" i="71"/>
  <c r="Q51" i="71"/>
  <c r="P51" i="71"/>
  <c r="O51" i="71"/>
  <c r="N51" i="71"/>
  <c r="Q50" i="71"/>
  <c r="F51" i="71" s="1"/>
  <c r="F52" i="71"/>
  <c r="F53" i="71" s="1"/>
  <c r="V53" i="71" s="1"/>
  <c r="P50" i="71"/>
  <c r="E51" i="71"/>
  <c r="O50" i="71"/>
  <c r="C51" i="71"/>
  <c r="N50" i="71"/>
  <c r="B51" i="71"/>
  <c r="B52" i="71" s="1"/>
  <c r="B53" i="71"/>
  <c r="S53" i="71" s="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c r="P42" i="71"/>
  <c r="E43" i="71" s="1"/>
  <c r="O42" i="71"/>
  <c r="C43" i="71" s="1"/>
  <c r="N42" i="71"/>
  <c r="B43" i="71"/>
  <c r="B44" i="71" s="1"/>
  <c r="B45" i="71" s="1"/>
  <c r="S45" i="71" s="1"/>
  <c r="D42" i="71"/>
  <c r="Q41" i="71"/>
  <c r="P41" i="71"/>
  <c r="O41" i="71"/>
  <c r="N41" i="71"/>
  <c r="Q40" i="71"/>
  <c r="P40" i="71"/>
  <c r="O40" i="71"/>
  <c r="N40" i="71"/>
  <c r="Q39" i="71"/>
  <c r="P39" i="71"/>
  <c r="O39" i="71"/>
  <c r="N39" i="71"/>
  <c r="Q38" i="71"/>
  <c r="F39" i="71"/>
  <c r="F40" i="71" s="1"/>
  <c r="P38" i="71"/>
  <c r="E39" i="71"/>
  <c r="E40" i="71" s="1"/>
  <c r="E41" i="71" s="1"/>
  <c r="U41" i="71" s="1"/>
  <c r="O38" i="71"/>
  <c r="C39" i="71" s="1"/>
  <c r="C40" i="71" s="1"/>
  <c r="N38" i="71"/>
  <c r="B39" i="71" s="1"/>
  <c r="B40" i="71"/>
  <c r="B41" i="71" s="1"/>
  <c r="S41" i="71" s="1"/>
  <c r="D38" i="71"/>
  <c r="T37" i="71"/>
  <c r="Q37" i="71"/>
  <c r="P37" i="71"/>
  <c r="O37" i="71"/>
  <c r="N37" i="71"/>
  <c r="D37" i="71"/>
  <c r="Q36" i="71"/>
  <c r="P36" i="71"/>
  <c r="O36" i="71"/>
  <c r="N36" i="71"/>
  <c r="Q35" i="71"/>
  <c r="P35" i="71"/>
  <c r="O35" i="71"/>
  <c r="N35" i="71"/>
  <c r="Q34" i="71"/>
  <c r="F35" i="71" s="1"/>
  <c r="F36" i="71" s="1"/>
  <c r="F37" i="71" s="1"/>
  <c r="V37" i="71" s="1"/>
  <c r="P34" i="71"/>
  <c r="E35" i="71"/>
  <c r="E36" i="71" s="1"/>
  <c r="E37" i="71"/>
  <c r="U37" i="71" s="1"/>
  <c r="O34" i="71"/>
  <c r="C35" i="71" s="1"/>
  <c r="N34" i="71"/>
  <c r="B35" i="71" s="1"/>
  <c r="B36" i="71" s="1"/>
  <c r="B37" i="71" s="1"/>
  <c r="S37" i="71" s="1"/>
  <c r="D34" i="71"/>
  <c r="Q33" i="71"/>
  <c r="P33" i="71"/>
  <c r="O33" i="71"/>
  <c r="N33" i="71"/>
  <c r="Q32" i="71"/>
  <c r="P32" i="71"/>
  <c r="O32" i="71"/>
  <c r="N32" i="71"/>
  <c r="Q31" i="71"/>
  <c r="P31" i="71"/>
  <c r="O31" i="71"/>
  <c r="N31" i="71"/>
  <c r="F31" i="71"/>
  <c r="F32" i="71" s="1"/>
  <c r="F33" i="71" s="1"/>
  <c r="V33" i="71" s="1"/>
  <c r="Q30" i="71"/>
  <c r="P30" i="71"/>
  <c r="E31" i="71"/>
  <c r="E32" i="71" s="1"/>
  <c r="E33" i="71" s="1"/>
  <c r="U33" i="71" s="1"/>
  <c r="O30" i="71"/>
  <c r="C31" i="71" s="1"/>
  <c r="D31" i="71" s="1"/>
  <c r="N30" i="71"/>
  <c r="B31" i="71" s="1"/>
  <c r="B32" i="71"/>
  <c r="B33" i="71" s="1"/>
  <c r="S33" i="71" s="1"/>
  <c r="D30" i="71"/>
  <c r="Q29" i="71"/>
  <c r="P29" i="71"/>
  <c r="O29" i="71"/>
  <c r="N29" i="71"/>
  <c r="AB28" i="71"/>
  <c r="Q28" i="71"/>
  <c r="P28" i="71"/>
  <c r="AA28" i="71" s="1"/>
  <c r="O28" i="71"/>
  <c r="Y28" i="71" s="1"/>
  <c r="Z28" i="71" s="1"/>
  <c r="N28" i="71"/>
  <c r="X28" i="71"/>
  <c r="Q27" i="71"/>
  <c r="AB27" i="71"/>
  <c r="P27" i="71"/>
  <c r="O27" i="71"/>
  <c r="N27" i="71"/>
  <c r="F27" i="71"/>
  <c r="F28" i="71" s="1"/>
  <c r="F29" i="71" s="1"/>
  <c r="V29" i="71" s="1"/>
  <c r="Q26" i="71"/>
  <c r="AB26" i="71" s="1"/>
  <c r="P26" i="71"/>
  <c r="O26" i="71"/>
  <c r="C27" i="71" s="1"/>
  <c r="N26" i="71"/>
  <c r="D26" i="71"/>
  <c r="Q25" i="71"/>
  <c r="AB25" i="71"/>
  <c r="P25" i="71"/>
  <c r="O25" i="71"/>
  <c r="N25" i="71"/>
  <c r="Q24" i="71"/>
  <c r="P24" i="71"/>
  <c r="AA22" i="71" s="1"/>
  <c r="O24" i="71"/>
  <c r="Y24" i="71"/>
  <c r="Z24" i="71" s="1"/>
  <c r="N24" i="71"/>
  <c r="Q23" i="71"/>
  <c r="AB23" i="71"/>
  <c r="P23" i="71"/>
  <c r="O23" i="71"/>
  <c r="N23" i="71"/>
  <c r="F23" i="71"/>
  <c r="F24" i="71" s="1"/>
  <c r="F25" i="71" s="1"/>
  <c r="V25" i="71" s="1"/>
  <c r="Q22" i="71"/>
  <c r="AB22" i="71" s="1"/>
  <c r="P22" i="71"/>
  <c r="O22" i="71"/>
  <c r="C23" i="71" s="1"/>
  <c r="N22" i="71"/>
  <c r="D22" i="71"/>
  <c r="Q21" i="71"/>
  <c r="AB21" i="71"/>
  <c r="P21" i="71"/>
  <c r="O21" i="71"/>
  <c r="N21" i="71"/>
  <c r="Q20" i="71"/>
  <c r="P20" i="71"/>
  <c r="AA20" i="71" s="1"/>
  <c r="O20" i="71"/>
  <c r="Y20" i="71"/>
  <c r="Z20" i="71" s="1"/>
  <c r="N20" i="71"/>
  <c r="X18" i="71" s="1"/>
  <c r="Q19" i="71"/>
  <c r="P19" i="71"/>
  <c r="O19" i="71"/>
  <c r="N19" i="71"/>
  <c r="F19" i="71"/>
  <c r="F20" i="71" s="1"/>
  <c r="F21" i="71" s="1"/>
  <c r="V21" i="71" s="1"/>
  <c r="Q18" i="71"/>
  <c r="AB18" i="71" s="1"/>
  <c r="P18" i="71"/>
  <c r="O18" i="71"/>
  <c r="C19" i="71" s="1"/>
  <c r="N18" i="71"/>
  <c r="D18" i="71"/>
  <c r="O17" i="71"/>
  <c r="N17" i="71"/>
  <c r="X16" i="71" s="1"/>
  <c r="B19" i="71"/>
  <c r="B20" i="71"/>
  <c r="B21" i="71" s="1"/>
  <c r="S21" i="71" s="1"/>
  <c r="E19" i="71"/>
  <c r="E20" i="71" s="1"/>
  <c r="E21" i="71" s="1"/>
  <c r="U21" i="71" s="1"/>
  <c r="AA18" i="71"/>
  <c r="B23" i="71"/>
  <c r="B24" i="71"/>
  <c r="B25" i="71" s="1"/>
  <c r="S25" i="71" s="1"/>
  <c r="B27" i="71"/>
  <c r="B28" i="71" s="1"/>
  <c r="B29" i="71" s="1"/>
  <c r="S29" i="71" s="1"/>
  <c r="X26" i="71"/>
  <c r="E27" i="71"/>
  <c r="E28" i="71"/>
  <c r="E29" i="71" s="1"/>
  <c r="U29" i="71" s="1"/>
  <c r="AA26" i="71"/>
  <c r="N57" i="71"/>
  <c r="E23" i="71"/>
  <c r="E24" i="71"/>
  <c r="E25" i="71"/>
  <c r="U25" i="71" s="1"/>
  <c r="X19" i="71"/>
  <c r="AA19" i="71"/>
  <c r="X20" i="71"/>
  <c r="X21" i="71"/>
  <c r="AA23" i="71"/>
  <c r="X24" i="71"/>
  <c r="AA24" i="71"/>
  <c r="X25" i="71"/>
  <c r="AA25" i="71"/>
  <c r="Y26" i="71"/>
  <c r="Z26" i="71" s="1"/>
  <c r="X27" i="71"/>
  <c r="AA27" i="71"/>
  <c r="F41" i="71"/>
  <c r="V41" i="71" s="1"/>
  <c r="C17" i="71"/>
  <c r="T17" i="71" s="1"/>
  <c r="Y14" i="71"/>
  <c r="Z14" i="71" s="1"/>
  <c r="Y16" i="71"/>
  <c r="Z16" i="71" s="1"/>
  <c r="B17" i="71"/>
  <c r="B16" i="71" s="1"/>
  <c r="B15" i="71" s="1"/>
  <c r="X15" i="71"/>
  <c r="C32" i="71"/>
  <c r="C33" i="71" s="1"/>
  <c r="C36" i="71"/>
  <c r="D36" i="71" s="1"/>
  <c r="D35" i="71"/>
  <c r="D39" i="71"/>
  <c r="P17" i="71"/>
  <c r="AA16" i="71" s="1"/>
  <c r="E44" i="71"/>
  <c r="E45" i="71" s="1"/>
  <c r="U45" i="71" s="1"/>
  <c r="E48" i="71"/>
  <c r="E49" i="71"/>
  <c r="U49" i="71" s="1"/>
  <c r="E52" i="71"/>
  <c r="E53" i="71" s="1"/>
  <c r="U53" i="71" s="1"/>
  <c r="Q17" i="71"/>
  <c r="AB17" i="71" s="1"/>
  <c r="C48" i="71"/>
  <c r="D47" i="71"/>
  <c r="C52" i="71"/>
  <c r="D51" i="71"/>
  <c r="N56" i="71"/>
  <c r="B55" i="71"/>
  <c r="N55" i="71" s="1"/>
  <c r="T57" i="71"/>
  <c r="O57" i="71"/>
  <c r="D57" i="71"/>
  <c r="C56" i="71"/>
  <c r="Q57" i="71"/>
  <c r="C60" i="71"/>
  <c r="C59" i="71" s="1"/>
  <c r="D59" i="71" s="1"/>
  <c r="E60" i="71"/>
  <c r="E59" i="71" s="1"/>
  <c r="D61" i="71"/>
  <c r="C64" i="71"/>
  <c r="D64" i="71" s="1"/>
  <c r="E64" i="71"/>
  <c r="E63" i="71" s="1"/>
  <c r="D65" i="71"/>
  <c r="C68" i="71"/>
  <c r="D68" i="71" s="1"/>
  <c r="E68" i="71"/>
  <c r="E67" i="71" s="1"/>
  <c r="D69" i="71"/>
  <c r="C72" i="71"/>
  <c r="C76" i="71"/>
  <c r="D76" i="71" s="1"/>
  <c r="C16" i="71"/>
  <c r="D16" i="71" s="1"/>
  <c r="F17" i="71"/>
  <c r="F16" i="71" s="1"/>
  <c r="F15" i="71" s="1"/>
  <c r="AB15" i="71"/>
  <c r="E17" i="71"/>
  <c r="E16" i="71"/>
  <c r="E15" i="71" s="1"/>
  <c r="AA3" i="71"/>
  <c r="AA14" i="71"/>
  <c r="AA15" i="71"/>
  <c r="AA17" i="71"/>
  <c r="D17" i="71"/>
  <c r="U17" i="71"/>
  <c r="C55" i="71"/>
  <c r="O56" i="71"/>
  <c r="D56" i="71"/>
  <c r="C53" i="71"/>
  <c r="T53" i="71" s="1"/>
  <c r="D52" i="71"/>
  <c r="D72" i="71"/>
  <c r="C71" i="71"/>
  <c r="D71" i="71"/>
  <c r="C63" i="71"/>
  <c r="D63" i="71" s="1"/>
  <c r="N54" i="71"/>
  <c r="C67" i="71"/>
  <c r="D67" i="71" s="1"/>
  <c r="D60" i="71"/>
  <c r="C49" i="71"/>
  <c r="D49" i="71" s="1"/>
  <c r="D48" i="71"/>
  <c r="D32" i="71"/>
  <c r="C15" i="71"/>
  <c r="D15" i="71"/>
  <c r="V17" i="71"/>
  <c r="O55" i="71"/>
  <c r="D55" i="71"/>
  <c r="O54"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A10" i="70"/>
  <c r="E10" i="70" s="1"/>
  <c r="A11" i="70"/>
  <c r="E11" i="70" s="1"/>
  <c r="A12" i="70"/>
  <c r="E12" i="70" s="1"/>
  <c r="A13" i="70"/>
  <c r="E13" i="70" s="1"/>
  <c r="A6" i="70"/>
  <c r="Q25" i="40"/>
  <c r="Z25" i="40"/>
  <c r="D94" i="40"/>
  <c r="E94" i="40"/>
  <c r="F25" i="40"/>
  <c r="AA25" i="40"/>
  <c r="Q29" i="39"/>
  <c r="Z29" i="39" s="1"/>
  <c r="D103" i="39"/>
  <c r="E103" i="39"/>
  <c r="F103" i="39" s="1"/>
  <c r="F29" i="39"/>
  <c r="AA29" i="39"/>
  <c r="Q18" i="36"/>
  <c r="Z18" i="36"/>
  <c r="D66" i="36"/>
  <c r="E66" i="36"/>
  <c r="F66" i="36" s="1"/>
  <c r="G66" i="36" s="1"/>
  <c r="H18" i="36"/>
  <c r="F18" i="36"/>
  <c r="AA18" i="36" s="1"/>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F83" i="33" s="1"/>
  <c r="C21" i="33"/>
  <c r="C21" i="21"/>
  <c r="Q21" i="21"/>
  <c r="Z21" i="21" s="1"/>
  <c r="H19" i="21"/>
  <c r="D83" i="21"/>
  <c r="F21" i="21"/>
  <c r="AA21" i="21" s="1"/>
  <c r="D81" i="21"/>
  <c r="G20" i="20"/>
  <c r="C25" i="40" s="1"/>
  <c r="B86" i="43"/>
  <c r="C22" i="20"/>
  <c r="B75" i="43"/>
  <c r="B55" i="43"/>
  <c r="B66" i="43"/>
  <c r="C29" i="39"/>
  <c r="S25" i="40"/>
  <c r="S29" i="39"/>
  <c r="S21" i="34"/>
  <c r="F94" i="40"/>
  <c r="H25" i="40"/>
  <c r="G94" i="40"/>
  <c r="J25" i="40"/>
  <c r="H29" i="39"/>
  <c r="G103" i="39"/>
  <c r="J29" i="39"/>
  <c r="J18" i="36"/>
  <c r="F68" i="35"/>
  <c r="G68" i="35" s="1"/>
  <c r="H18" i="35"/>
  <c r="S18" i="35"/>
  <c r="J18" i="35"/>
  <c r="H21" i="37"/>
  <c r="U21" i="37" s="1"/>
  <c r="F21" i="37"/>
  <c r="F84" i="34"/>
  <c r="G84" i="34" s="1"/>
  <c r="H21" i="34"/>
  <c r="U21" i="34" s="1"/>
  <c r="H21" i="33"/>
  <c r="F21" i="33"/>
  <c r="E83" i="21"/>
  <c r="F83" i="21" s="1"/>
  <c r="G83" i="21" s="1"/>
  <c r="S21" i="21"/>
  <c r="H1" i="69"/>
  <c r="AC25" i="40"/>
  <c r="W25" i="40"/>
  <c r="AB25" i="40"/>
  <c r="U25" i="40"/>
  <c r="AB29" i="39"/>
  <c r="U29" i="39"/>
  <c r="AC29" i="39"/>
  <c r="W29" i="39"/>
  <c r="AC18" i="36"/>
  <c r="W18" i="36"/>
  <c r="AB21" i="37"/>
  <c r="AA21" i="37"/>
  <c r="S21" i="37"/>
  <c r="U21" i="33"/>
  <c r="AB21" i="33"/>
  <c r="AB18" i="35"/>
  <c r="U18" i="35"/>
  <c r="G77" i="37"/>
  <c r="J21" i="37"/>
  <c r="W21" i="37" s="1"/>
  <c r="J21" i="34"/>
  <c r="G83" i="33"/>
  <c r="J21" i="33"/>
  <c r="W21" i="33" s="1"/>
  <c r="H21" i="21"/>
  <c r="F38" i="69"/>
  <c r="E37" i="69"/>
  <c r="F36" i="69"/>
  <c r="F35" i="69"/>
  <c r="F21" i="69"/>
  <c r="F20" i="69"/>
  <c r="E10" i="69"/>
  <c r="E9" i="69"/>
  <c r="AC21" i="34"/>
  <c r="W21" i="34"/>
  <c r="AB21" i="21"/>
  <c r="U21" i="21"/>
  <c r="J21" i="21"/>
  <c r="F38" i="68"/>
  <c r="E37" i="68"/>
  <c r="F36" i="68"/>
  <c r="F35" i="68"/>
  <c r="F21" i="68"/>
  <c r="C21" i="68" s="1"/>
  <c r="F20" i="68"/>
  <c r="E10" i="68"/>
  <c r="E9" i="68"/>
  <c r="W21" i="21"/>
  <c r="AC21" i="21"/>
  <c r="Q72" i="67"/>
  <c r="Q59" i="67"/>
  <c r="Q58" i="67"/>
  <c r="Q51" i="67"/>
  <c r="J50" i="67"/>
  <c r="M47" i="67"/>
  <c r="D46" i="67"/>
  <c r="F33" i="67"/>
  <c r="F61" i="67" s="1"/>
  <c r="F23" i="67"/>
  <c r="D22" i="67" s="1"/>
  <c r="F21" i="67"/>
  <c r="F20" i="67"/>
  <c r="M19" i="67"/>
  <c r="F18" i="67"/>
  <c r="F17" i="67"/>
  <c r="F15" i="67"/>
  <c r="S2" i="4"/>
  <c r="C51" i="10" s="1"/>
  <c r="A13" i="51" s="1"/>
  <c r="B11" i="72" s="1"/>
  <c r="S1" i="4"/>
  <c r="A4" i="51" s="1"/>
  <c r="B6" i="72" s="1"/>
  <c r="B1" i="4"/>
  <c r="C31" i="66"/>
  <c r="C27" i="66"/>
  <c r="C32" i="66" s="1"/>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G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c r="D77" i="43"/>
  <c r="M76" i="43"/>
  <c r="N76" i="43"/>
  <c r="K76" i="43"/>
  <c r="J76" i="43" s="1"/>
  <c r="D76" i="43"/>
  <c r="M75" i="43"/>
  <c r="N75" i="43"/>
  <c r="K75" i="43"/>
  <c r="J75" i="43" s="1"/>
  <c r="D75" i="43"/>
  <c r="M74" i="43"/>
  <c r="N74" i="43" s="1"/>
  <c r="K74" i="43"/>
  <c r="J74" i="43"/>
  <c r="D74" i="43"/>
  <c r="M73" i="43"/>
  <c r="N73" i="43" s="1"/>
  <c r="K73" i="43"/>
  <c r="J73" i="43"/>
  <c r="D73" i="43"/>
  <c r="M72" i="43"/>
  <c r="N72" i="43"/>
  <c r="K72" i="43"/>
  <c r="J72" i="43"/>
  <c r="D72" i="43"/>
  <c r="M71" i="43"/>
  <c r="N71" i="43"/>
  <c r="K71" i="43"/>
  <c r="J71" i="43" s="1"/>
  <c r="D71" i="43"/>
  <c r="M70" i="43"/>
  <c r="N70" i="43"/>
  <c r="K70" i="43"/>
  <c r="J70" i="43"/>
  <c r="D70" i="43"/>
  <c r="M67" i="43"/>
  <c r="N67" i="43" s="1"/>
  <c r="K67" i="43"/>
  <c r="J67" i="43"/>
  <c r="M66" i="43"/>
  <c r="N66" i="43" s="1"/>
  <c r="K66" i="43"/>
  <c r="J66" i="43"/>
  <c r="M65" i="43"/>
  <c r="N65" i="43" s="1"/>
  <c r="K65" i="43"/>
  <c r="J65" i="43"/>
  <c r="M64" i="43"/>
  <c r="N64" i="43" s="1"/>
  <c r="K64" i="43"/>
  <c r="J64" i="43"/>
  <c r="M63" i="43"/>
  <c r="N63" i="43" s="1"/>
  <c r="K63" i="43"/>
  <c r="J63" i="43"/>
  <c r="M62" i="43"/>
  <c r="N62" i="43" s="1"/>
  <c r="K62" i="43"/>
  <c r="J62" i="43"/>
  <c r="M61" i="43"/>
  <c r="N61" i="43" s="1"/>
  <c r="K61" i="43"/>
  <c r="J61" i="43"/>
  <c r="M60" i="43"/>
  <c r="N60" i="43" s="1"/>
  <c r="K60" i="43"/>
  <c r="J60" i="43"/>
  <c r="M59" i="43"/>
  <c r="N59" i="43" s="1"/>
  <c r="K59" i="43"/>
  <c r="J59" i="43"/>
  <c r="M56" i="43"/>
  <c r="N56" i="43" s="1"/>
  <c r="K56" i="43"/>
  <c r="J56" i="43"/>
  <c r="D56" i="43"/>
  <c r="M55" i="43"/>
  <c r="N55" i="43"/>
  <c r="K55" i="43"/>
  <c r="J55" i="43" s="1"/>
  <c r="D55" i="43"/>
  <c r="M54" i="43"/>
  <c r="N54" i="43"/>
  <c r="K54" i="43"/>
  <c r="J54" i="43" s="1"/>
  <c r="D54" i="43"/>
  <c r="M53" i="43"/>
  <c r="N53" i="43"/>
  <c r="K53" i="43"/>
  <c r="J53" i="43"/>
  <c r="D53" i="43"/>
  <c r="M52" i="43"/>
  <c r="N52" i="43" s="1"/>
  <c r="K52" i="43"/>
  <c r="J52" i="43"/>
  <c r="D52" i="43"/>
  <c r="M51" i="43"/>
  <c r="N51" i="43"/>
  <c r="K51" i="43"/>
  <c r="J51" i="43"/>
  <c r="D51" i="43"/>
  <c r="M50" i="43"/>
  <c r="N50" i="43"/>
  <c r="K50" i="43"/>
  <c r="J50" i="43" s="1"/>
  <c r="D50" i="43"/>
  <c r="M49" i="43"/>
  <c r="N49" i="43" s="1"/>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D7" i="1"/>
  <c r="D8" i="1"/>
  <c r="A7" i="1"/>
  <c r="B7" i="1" s="1"/>
  <c r="E7" i="1" s="1"/>
  <c r="A8" i="1"/>
  <c r="B8" i="1" s="1"/>
  <c r="E8" i="1" s="1"/>
  <c r="A9" i="1"/>
  <c r="A10" i="1"/>
  <c r="G1" i="67" s="1"/>
  <c r="A11" i="1"/>
  <c r="A12" i="1"/>
  <c r="A13" i="1"/>
  <c r="K13" i="1" s="1"/>
  <c r="M13" i="1" s="1"/>
  <c r="O13" i="1" s="1"/>
  <c r="A6" i="1"/>
  <c r="B11" i="1"/>
  <c r="E11"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L109" i="3" s="1"/>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AZ105" i="3" s="1"/>
  <c r="BC105" i="3"/>
  <c r="BB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A102" i="3" s="1"/>
  <c r="AZ102" i="3" s="1"/>
  <c r="BC102" i="3"/>
  <c r="BB102" i="3"/>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c r="BK99" i="3"/>
  <c r="BJ99" i="3"/>
  <c r="BI99" i="3"/>
  <c r="BH99" i="3"/>
  <c r="BG99" i="3"/>
  <c r="BF99" i="3"/>
  <c r="BE99" i="3"/>
  <c r="BD99" i="3"/>
  <c r="BA99" i="3" s="1"/>
  <c r="AZ99" i="3" s="1"/>
  <c r="BC99" i="3"/>
  <c r="BB99" i="3"/>
  <c r="AX99" i="3"/>
  <c r="AW99" i="3"/>
  <c r="AV99" i="3"/>
  <c r="AC99" i="3"/>
  <c r="H99" i="3"/>
  <c r="BT98" i="3"/>
  <c r="BS98" i="3"/>
  <c r="BR98" i="3"/>
  <c r="BQ98" i="3"/>
  <c r="BP98" i="3"/>
  <c r="BO98" i="3"/>
  <c r="BL98" i="3" s="1"/>
  <c r="BN98" i="3"/>
  <c r="BM98" i="3"/>
  <c r="BK98" i="3"/>
  <c r="BJ98" i="3"/>
  <c r="BI98" i="3"/>
  <c r="BH98" i="3"/>
  <c r="BG98" i="3"/>
  <c r="BF98" i="3"/>
  <c r="BE98" i="3"/>
  <c r="BD98" i="3"/>
  <c r="BC98" i="3"/>
  <c r="BA98" i="3" s="1"/>
  <c r="AZ98" i="3" s="1"/>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A94" i="3" s="1"/>
  <c r="AZ94" i="3" s="1"/>
  <c r="BB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A89" i="3" s="1"/>
  <c r="AZ89" i="3" s="1"/>
  <c r="BB89" i="3"/>
  <c r="AX89" i="3"/>
  <c r="AW89" i="3"/>
  <c r="AV89" i="3"/>
  <c r="AC89" i="3"/>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K87" i="3"/>
  <c r="BJ87" i="3"/>
  <c r="BI87" i="3"/>
  <c r="BH87" i="3"/>
  <c r="BG87" i="3"/>
  <c r="BF87" i="3"/>
  <c r="BE87" i="3"/>
  <c r="BD87" i="3"/>
  <c r="BC87" i="3"/>
  <c r="BA87" i="3" s="1"/>
  <c r="BB87" i="3"/>
  <c r="AX87" i="3"/>
  <c r="AW87" i="3"/>
  <c r="AV87" i="3"/>
  <c r="AC87" i="3"/>
  <c r="H87" i="3"/>
  <c r="G87" i="3"/>
  <c r="BT86" i="3"/>
  <c r="BS86" i="3"/>
  <c r="BR86" i="3"/>
  <c r="BQ86" i="3"/>
  <c r="BP86" i="3"/>
  <c r="BO86" i="3"/>
  <c r="BN86" i="3"/>
  <c r="BM86" i="3"/>
  <c r="BL86" i="3"/>
  <c r="BK86" i="3"/>
  <c r="BJ86" i="3"/>
  <c r="BI86" i="3"/>
  <c r="BH86" i="3"/>
  <c r="BG86" i="3"/>
  <c r="BF86" i="3"/>
  <c r="BE86" i="3"/>
  <c r="BD86" i="3"/>
  <c r="BA86" i="3" s="1"/>
  <c r="AZ86" i="3" s="1"/>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A84" i="3" s="1"/>
  <c r="AZ84" i="3" s="1"/>
  <c r="BB84" i="3"/>
  <c r="AX84" i="3"/>
  <c r="AW84" i="3"/>
  <c r="AV84" i="3"/>
  <c r="AC84" i="3"/>
  <c r="H84" i="3"/>
  <c r="BT83" i="3"/>
  <c r="BS83" i="3"/>
  <c r="BR83" i="3"/>
  <c r="BQ83" i="3"/>
  <c r="BP83" i="3"/>
  <c r="BO83" i="3"/>
  <c r="BN83" i="3"/>
  <c r="BL83" i="3" s="1"/>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A82" i="3" s="1"/>
  <c r="AZ82" i="3" s="1"/>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BT79" i="3"/>
  <c r="BS79" i="3"/>
  <c r="BR79" i="3"/>
  <c r="BQ79" i="3"/>
  <c r="BP79" i="3"/>
  <c r="BO79" i="3"/>
  <c r="BL79" i="3" s="1"/>
  <c r="BN79" i="3"/>
  <c r="BM79" i="3"/>
  <c r="BK79" i="3"/>
  <c r="BJ79" i="3"/>
  <c r="BI79" i="3"/>
  <c r="BH79" i="3"/>
  <c r="BG79" i="3"/>
  <c r="BF79" i="3"/>
  <c r="BE79" i="3"/>
  <c r="BD79" i="3"/>
  <c r="BC79" i="3"/>
  <c r="BA79" i="3" s="1"/>
  <c r="AZ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AZ77" i="3" s="1"/>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A73" i="3" s="1"/>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BC62" i="3"/>
  <c r="BB62" i="3"/>
  <c r="AX62" i="3"/>
  <c r="AW62" i="3"/>
  <c r="AV62" i="3"/>
  <c r="AC62" i="3"/>
  <c r="H62" i="3"/>
  <c r="BT61" i="3"/>
  <c r="BS61" i="3"/>
  <c r="BR61" i="3"/>
  <c r="BQ61" i="3"/>
  <c r="BP61" i="3"/>
  <c r="BO61" i="3"/>
  <c r="BL61" i="3" s="1"/>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A57" i="3" s="1"/>
  <c r="BC57" i="3"/>
  <c r="BB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A49" i="3" s="1"/>
  <c r="BC49" i="3"/>
  <c r="BB49" i="3"/>
  <c r="AX49" i="3"/>
  <c r="AW49" i="3"/>
  <c r="AV49" i="3"/>
  <c r="AC49" i="3"/>
  <c r="H49" i="3"/>
  <c r="G49" i="3" s="1"/>
  <c r="BT48" i="3"/>
  <c r="BS48" i="3"/>
  <c r="BR48" i="3"/>
  <c r="BQ48" i="3"/>
  <c r="BP48" i="3"/>
  <c r="BO48" i="3"/>
  <c r="BL48" i="3" s="1"/>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A43" i="3" s="1"/>
  <c r="AZ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L38" i="3" s="1"/>
  <c r="BN38" i="3"/>
  <c r="BM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P29" i="3"/>
  <c r="BO29" i="3"/>
  <c r="BN29" i="3"/>
  <c r="BM29" i="3"/>
  <c r="BK29" i="3"/>
  <c r="BJ29" i="3"/>
  <c r="BI29" i="3"/>
  <c r="BH29" i="3"/>
  <c r="BG29" i="3"/>
  <c r="BF29" i="3"/>
  <c r="BE29" i="3"/>
  <c r="BD29" i="3"/>
  <c r="BC29" i="3"/>
  <c r="BB29" i="3"/>
  <c r="AX29" i="3"/>
  <c r="AW29" i="3"/>
  <c r="AV29" i="3"/>
  <c r="AC29" i="3"/>
  <c r="H29" i="3"/>
  <c r="BT28" i="3"/>
  <c r="BS28" i="3"/>
  <c r="BR28" i="3"/>
  <c r="BP28" i="3"/>
  <c r="BO28" i="3"/>
  <c r="BN28" i="3"/>
  <c r="BM28" i="3"/>
  <c r="BK28" i="3"/>
  <c r="BJ28" i="3"/>
  <c r="BI28" i="3"/>
  <c r="BH28" i="3"/>
  <c r="BG28" i="3"/>
  <c r="BF28" i="3"/>
  <c r="BE28" i="3"/>
  <c r="BD28" i="3"/>
  <c r="BC28" i="3"/>
  <c r="BB28" i="3"/>
  <c r="AX28" i="3"/>
  <c r="AW28" i="3"/>
  <c r="AV28" i="3"/>
  <c r="AC28" i="3"/>
  <c r="H28" i="3"/>
  <c r="BT27" i="3"/>
  <c r="BS27" i="3"/>
  <c r="BR27" i="3"/>
  <c r="BP27" i="3"/>
  <c r="BO27" i="3"/>
  <c r="BN27" i="3"/>
  <c r="BM27" i="3"/>
  <c r="BK27" i="3"/>
  <c r="BJ27" i="3"/>
  <c r="BI27" i="3"/>
  <c r="BH27" i="3"/>
  <c r="BG27" i="3"/>
  <c r="BF27" i="3"/>
  <c r="BE27" i="3"/>
  <c r="BC27" i="3"/>
  <c r="BB27" i="3"/>
  <c r="AX27" i="3"/>
  <c r="AW27" i="3"/>
  <c r="AV27" i="3"/>
  <c r="AC27" i="3"/>
  <c r="H27" i="3"/>
  <c r="BT26" i="3"/>
  <c r="BS26" i="3"/>
  <c r="BR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P20" i="3"/>
  <c r="BN20" i="3"/>
  <c r="BM20" i="3"/>
  <c r="BK20" i="3"/>
  <c r="BJ20" i="3"/>
  <c r="BI20" i="3"/>
  <c r="BH20" i="3"/>
  <c r="BG20" i="3"/>
  <c r="BF20" i="3"/>
  <c r="BE20" i="3"/>
  <c r="BD20" i="3"/>
  <c r="BC20" i="3"/>
  <c r="BB20" i="3"/>
  <c r="AX20" i="3"/>
  <c r="AW20" i="3"/>
  <c r="AV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L189" i="3" s="1"/>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L177" i="3" s="1"/>
  <c r="AZ177" i="3" s="1"/>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L162" i="3" s="1"/>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L142" i="3" s="1"/>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A130" i="3" s="1"/>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s="1"/>
  <c r="AZ121" i="3" s="1"/>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s="1"/>
  <c r="BC118" i="3"/>
  <c r="BB118" i="3"/>
  <c r="AZ118" i="3"/>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BC300" i="3"/>
  <c r="BB300" i="3"/>
  <c r="AZ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A299" i="3" s="1"/>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BC292" i="3"/>
  <c r="BB292" i="3"/>
  <c r="AZ292" i="3"/>
  <c r="AX292" i="3"/>
  <c r="AW292" i="3"/>
  <c r="AV292" i="3"/>
  <c r="AC292" i="3"/>
  <c r="G292" i="3" s="1"/>
  <c r="H292" i="3"/>
  <c r="BT291" i="3"/>
  <c r="BS291" i="3"/>
  <c r="BR291" i="3"/>
  <c r="BQ291" i="3"/>
  <c r="BP291" i="3"/>
  <c r="BO291" i="3"/>
  <c r="BL291" i="3" s="1"/>
  <c r="BN291" i="3"/>
  <c r="BM291" i="3"/>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AZ289" i="3" s="1"/>
  <c r="BC289" i="3"/>
  <c r="BB289" i="3"/>
  <c r="AX289" i="3"/>
  <c r="AW289" i="3"/>
  <c r="AV289" i="3"/>
  <c r="AC289" i="3"/>
  <c r="G289" i="3" s="1"/>
  <c r="H289" i="3"/>
  <c r="BT288" i="3"/>
  <c r="BS288" i="3"/>
  <c r="BR288" i="3"/>
  <c r="BQ288" i="3"/>
  <c r="BP288" i="3"/>
  <c r="BO288" i="3"/>
  <c r="BL288" i="3" s="1"/>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L286" i="3" s="1"/>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BC284" i="3"/>
  <c r="BB284" i="3"/>
  <c r="AZ284" i="3"/>
  <c r="AX284" i="3"/>
  <c r="AW284" i="3"/>
  <c r="AV284" i="3"/>
  <c r="AC284" i="3"/>
  <c r="G284" i="3" s="1"/>
  <c r="H284" i="3"/>
  <c r="BT283" i="3"/>
  <c r="BS283" i="3"/>
  <c r="BR283" i="3"/>
  <c r="BQ283" i="3"/>
  <c r="BP283" i="3"/>
  <c r="BO283" i="3"/>
  <c r="BL283" i="3" s="1"/>
  <c r="BN283" i="3"/>
  <c r="BM283" i="3"/>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BC276" i="3"/>
  <c r="BB276" i="3"/>
  <c r="AZ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L265" i="3" s="1"/>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L260" i="3" s="1"/>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BC258" i="3"/>
  <c r="BB258" i="3"/>
  <c r="AZ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G226" i="3" s="1"/>
  <c r="H226" i="3"/>
  <c r="BT225" i="3"/>
  <c r="BS225" i="3"/>
  <c r="BR225" i="3"/>
  <c r="BQ225" i="3"/>
  <c r="BP225" i="3"/>
  <c r="BO225" i="3"/>
  <c r="BL225" i="3" s="1"/>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BA219" i="3" s="1"/>
  <c r="AZ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A317" i="3" s="1"/>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L456" i="3" s="1"/>
  <c r="BN456" i="3"/>
  <c r="BM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s="1"/>
  <c r="AZ449" i="3" s="1"/>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BT424" i="3"/>
  <c r="BS424" i="3"/>
  <c r="BR424" i="3"/>
  <c r="BQ424" i="3"/>
  <c r="BP424" i="3"/>
  <c r="BO424" i="3"/>
  <c r="BL424" i="3" s="1"/>
  <c r="BN424" i="3"/>
  <c r="BM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BT410" i="3"/>
  <c r="BS410" i="3"/>
  <c r="BR410" i="3"/>
  <c r="BQ410" i="3"/>
  <c r="BP410" i="3"/>
  <c r="BO410" i="3"/>
  <c r="BL410" i="3" s="1"/>
  <c r="BN410" i="3"/>
  <c r="BM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L407" i="3" s="1"/>
  <c r="AZ407" i="3" s="1"/>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G405" i="3" s="1"/>
  <c r="H405" i="3"/>
  <c r="BT404" i="3"/>
  <c r="BS404" i="3"/>
  <c r="BR404" i="3"/>
  <c r="BQ404" i="3"/>
  <c r="BP404" i="3"/>
  <c r="BO404" i="3"/>
  <c r="BL404" i="3" s="1"/>
  <c r="BN404" i="3"/>
  <c r="BM404" i="3"/>
  <c r="BK404" i="3"/>
  <c r="BJ404" i="3"/>
  <c r="BI404" i="3"/>
  <c r="BH404" i="3"/>
  <c r="BG404" i="3"/>
  <c r="BF404" i="3"/>
  <c r="BE404" i="3"/>
  <c r="BD404" i="3"/>
  <c r="BC404" i="3"/>
  <c r="BA404" i="3" s="1"/>
  <c r="AZ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c r="C59" i="40"/>
  <c r="H58" i="40"/>
  <c r="I58" i="40"/>
  <c r="C58" i="40"/>
  <c r="H57" i="40"/>
  <c r="I57" i="40" s="1"/>
  <c r="C57" i="40" s="1"/>
  <c r="H56" i="40"/>
  <c r="I56" i="40"/>
  <c r="C56" i="40" s="1"/>
  <c r="H55" i="40"/>
  <c r="I55" i="40" s="1"/>
  <c r="C55" i="40" s="1"/>
  <c r="H54" i="40"/>
  <c r="I54" i="40"/>
  <c r="C54" i="40" s="1"/>
  <c r="H53" i="40"/>
  <c r="I53" i="40" s="1"/>
  <c r="C53" i="40"/>
  <c r="H52" i="40"/>
  <c r="I52" i="40" s="1"/>
  <c r="C52" i="40" s="1"/>
  <c r="H65" i="39"/>
  <c r="I65" i="39"/>
  <c r="C65" i="39"/>
  <c r="H64" i="39"/>
  <c r="I64" i="39"/>
  <c r="C64" i="39"/>
  <c r="H60" i="39"/>
  <c r="I60" i="39" s="1"/>
  <c r="C60" i="39" s="1"/>
  <c r="H59" i="39"/>
  <c r="I59" i="39"/>
  <c r="C59" i="39"/>
  <c r="H58" i="39"/>
  <c r="I58" i="39"/>
  <c r="C58" i="39"/>
  <c r="H57" i="39"/>
  <c r="I57" i="39" s="1"/>
  <c r="C57" i="39" s="1"/>
  <c r="H61" i="39"/>
  <c r="I61" i="39"/>
  <c r="C61" i="39" s="1"/>
  <c r="H63" i="39"/>
  <c r="I63" i="39"/>
  <c r="C63" i="39"/>
  <c r="H62" i="39"/>
  <c r="I62" i="39"/>
  <c r="C62" i="39"/>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c r="R262" i="31"/>
  <c r="R263" i="31"/>
  <c r="S263" i="31"/>
  <c r="R264" i="31"/>
  <c r="R265" i="31"/>
  <c r="S265" i="31" s="1"/>
  <c r="R266" i="31"/>
  <c r="R267" i="31"/>
  <c r="S267" i="31"/>
  <c r="R268" i="31"/>
  <c r="R269" i="31"/>
  <c r="S269" i="31"/>
  <c r="R270" i="31"/>
  <c r="R271" i="31"/>
  <c r="S271" i="31"/>
  <c r="R272" i="31"/>
  <c r="R273" i="31"/>
  <c r="S273" i="31" s="1"/>
  <c r="R274" i="31"/>
  <c r="R275" i="31"/>
  <c r="S275" i="31"/>
  <c r="R276" i="31"/>
  <c r="R277" i="31"/>
  <c r="S277" i="31"/>
  <c r="R278" i="31"/>
  <c r="R279" i="31"/>
  <c r="S279" i="31"/>
  <c r="R280" i="31"/>
  <c r="R281" i="31"/>
  <c r="S281" i="31" s="1"/>
  <c r="R282" i="31"/>
  <c r="R283" i="31"/>
  <c r="S283" i="31"/>
  <c r="R284" i="31"/>
  <c r="R285" i="31"/>
  <c r="S285" i="31"/>
  <c r="R286" i="31"/>
  <c r="R287" i="31"/>
  <c r="S287" i="31"/>
  <c r="R288" i="31"/>
  <c r="R289" i="31"/>
  <c r="S289" i="31" s="1"/>
  <c r="R290" i="31"/>
  <c r="R291" i="31"/>
  <c r="S291" i="31"/>
  <c r="R292" i="31"/>
  <c r="R293" i="31"/>
  <c r="S293" i="31"/>
  <c r="R294" i="31"/>
  <c r="R295" i="31"/>
  <c r="S295" i="31"/>
  <c r="R296" i="31"/>
  <c r="R297" i="31"/>
  <c r="S297" i="31" s="1"/>
  <c r="R298" i="31"/>
  <c r="R299" i="31"/>
  <c r="S299" i="31"/>
  <c r="R300" i="31"/>
  <c r="R301" i="31"/>
  <c r="S301" i="31"/>
  <c r="R302" i="31"/>
  <c r="R303" i="31"/>
  <c r="S303" i="31"/>
  <c r="R304" i="31"/>
  <c r="R305" i="31"/>
  <c r="S305" i="31" s="1"/>
  <c r="R306" i="31"/>
  <c r="R307" i="31"/>
  <c r="S307" i="31"/>
  <c r="R308" i="31"/>
  <c r="R309" i="31"/>
  <c r="S309" i="31"/>
  <c r="R310" i="31"/>
  <c r="R311" i="31"/>
  <c r="S311" i="31"/>
  <c r="R312" i="31"/>
  <c r="R313" i="31"/>
  <c r="S313" i="31" s="1"/>
  <c r="R314" i="31"/>
  <c r="R315" i="31"/>
  <c r="S315" i="31"/>
  <c r="R316" i="31"/>
  <c r="R317" i="31"/>
  <c r="S317" i="31"/>
  <c r="R318" i="31"/>
  <c r="R319" i="31"/>
  <c r="S319" i="31"/>
  <c r="R320" i="31"/>
  <c r="R321" i="31"/>
  <c r="S321" i="31" s="1"/>
  <c r="R322" i="31"/>
  <c r="R323" i="31"/>
  <c r="S323" i="31"/>
  <c r="R324" i="31"/>
  <c r="R325" i="31"/>
  <c r="S325" i="31"/>
  <c r="R326" i="31"/>
  <c r="R327" i="31"/>
  <c r="S327" i="31"/>
  <c r="R328" i="31"/>
  <c r="R329" i="31"/>
  <c r="S329" i="31" s="1"/>
  <c r="R330" i="31"/>
  <c r="R331" i="31"/>
  <c r="S331" i="31"/>
  <c r="R332" i="31"/>
  <c r="R333" i="31"/>
  <c r="S333" i="31"/>
  <c r="R334" i="31"/>
  <c r="R335" i="31"/>
  <c r="S335" i="31"/>
  <c r="R336" i="31"/>
  <c r="R337" i="31"/>
  <c r="S337" i="31" s="1"/>
  <c r="R338" i="31"/>
  <c r="R339" i="31"/>
  <c r="S339" i="31"/>
  <c r="R340" i="31"/>
  <c r="R341" i="31"/>
  <c r="S341" i="31"/>
  <c r="R342" i="31"/>
  <c r="R343" i="31"/>
  <c r="S343" i="31"/>
  <c r="R344" i="31"/>
  <c r="R345" i="31"/>
  <c r="S345" i="31" s="1"/>
  <c r="R346" i="31"/>
  <c r="R347" i="31"/>
  <c r="S347" i="31"/>
  <c r="R348" i="31"/>
  <c r="R349" i="31"/>
  <c r="S349" i="31"/>
  <c r="R350" i="31"/>
  <c r="R351" i="31"/>
  <c r="S351" i="31"/>
  <c r="R352" i="31"/>
  <c r="R353" i="31"/>
  <c r="S353" i="31" s="1"/>
  <c r="R354" i="31"/>
  <c r="R355" i="31"/>
  <c r="S355" i="31"/>
  <c r="R356" i="31"/>
  <c r="R357" i="31"/>
  <c r="S357" i="31"/>
  <c r="R358" i="31"/>
  <c r="R359" i="31"/>
  <c r="S359" i="31"/>
  <c r="R360" i="31"/>
  <c r="R361" i="31"/>
  <c r="S361" i="31" s="1"/>
  <c r="R362" i="31"/>
  <c r="R363" i="31"/>
  <c r="S363" i="31"/>
  <c r="R364" i="31"/>
  <c r="R365" i="31"/>
  <c r="S365" i="31"/>
  <c r="R366" i="31"/>
  <c r="R367" i="31"/>
  <c r="S367" i="31"/>
  <c r="R368" i="31"/>
  <c r="R369" i="31"/>
  <c r="S369" i="31" s="1"/>
  <c r="R370" i="31"/>
  <c r="R371" i="31"/>
  <c r="S371" i="31"/>
  <c r="R372" i="31"/>
  <c r="R373" i="31"/>
  <c r="S373" i="31"/>
  <c r="R374" i="31"/>
  <c r="R375" i="31"/>
  <c r="S375" i="31"/>
  <c r="R376" i="31"/>
  <c r="R377" i="31"/>
  <c r="S377" i="31" s="1"/>
  <c r="R378" i="31"/>
  <c r="R379" i="31"/>
  <c r="S379" i="31"/>
  <c r="R380" i="31"/>
  <c r="R381" i="31"/>
  <c r="S381" i="31"/>
  <c r="R382" i="31"/>
  <c r="R383" i="31"/>
  <c r="S383" i="31"/>
  <c r="R384" i="31"/>
  <c r="R385" i="31"/>
  <c r="S385" i="31" s="1"/>
  <c r="R386" i="31"/>
  <c r="R387" i="31"/>
  <c r="S387" i="31"/>
  <c r="R388" i="31"/>
  <c r="R389" i="31"/>
  <c r="S389" i="31"/>
  <c r="R390" i="31"/>
  <c r="R391" i="31"/>
  <c r="S391" i="31"/>
  <c r="R392" i="31"/>
  <c r="R393" i="31"/>
  <c r="S393" i="31" s="1"/>
  <c r="R394" i="31"/>
  <c r="R395" i="31"/>
  <c r="S395" i="31"/>
  <c r="R396" i="31"/>
  <c r="R397" i="31"/>
  <c r="S397" i="31"/>
  <c r="R398" i="31"/>
  <c r="R399" i="31"/>
  <c r="S399" i="31"/>
  <c r="R400" i="31"/>
  <c r="R401" i="31"/>
  <c r="S401" i="31" s="1"/>
  <c r="R402" i="31"/>
  <c r="R403" i="31"/>
  <c r="S403" i="31"/>
  <c r="R404" i="31"/>
  <c r="R405" i="31"/>
  <c r="S405" i="31"/>
  <c r="R406" i="31"/>
  <c r="R407" i="31"/>
  <c r="S407" i="31"/>
  <c r="R408" i="31"/>
  <c r="R409" i="31"/>
  <c r="S409" i="31" s="1"/>
  <c r="R410" i="31"/>
  <c r="R411" i="31"/>
  <c r="S411" i="31"/>
  <c r="R412" i="31"/>
  <c r="R413" i="31"/>
  <c r="S413" i="31"/>
  <c r="R414" i="31"/>
  <c r="R415" i="31"/>
  <c r="S415" i="31"/>
  <c r="R416" i="31"/>
  <c r="R417" i="31"/>
  <c r="S417" i="31" s="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c r="F33" i="9"/>
  <c r="B37" i="48"/>
  <c r="B2" i="72" s="1"/>
  <c r="B13" i="53"/>
  <c r="B29" i="72" s="1"/>
  <c r="R35" i="4"/>
  <c r="Q35" i="4"/>
  <c r="P35" i="4"/>
  <c r="O35" i="4"/>
  <c r="N35" i="4"/>
  <c r="M35" i="4"/>
  <c r="L35" i="4"/>
  <c r="K34" i="4"/>
  <c r="T34" i="4" s="1"/>
  <c r="I15" i="4"/>
  <c r="H15" i="4"/>
  <c r="G15" i="4"/>
  <c r="E15" i="4"/>
  <c r="D15" i="4"/>
  <c r="F7" i="1"/>
  <c r="G7" i="1" s="1"/>
  <c r="L21" i="4"/>
  <c r="F19" i="4"/>
  <c r="F2" i="52"/>
  <c r="B50" i="72"/>
  <c r="D2" i="52"/>
  <c r="B46" i="72"/>
  <c r="B8" i="53"/>
  <c r="B23" i="72"/>
  <c r="L4" i="9"/>
  <c r="B15" i="72"/>
  <c r="A3" i="51"/>
  <c r="C8" i="11"/>
  <c r="B2" i="49"/>
  <c r="B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5" i="3"/>
  <c r="BO16" i="3"/>
  <c r="BO17" i="3"/>
  <c r="BN13" i="3"/>
  <c r="BN14" i="3"/>
  <c r="BN15" i="3"/>
  <c r="BN16" i="3"/>
  <c r="BN17" i="3"/>
  <c r="BP13" i="3"/>
  <c r="BP14" i="3"/>
  <c r="BP15" i="3"/>
  <c r="BP16" i="3"/>
  <c r="BP17" i="3"/>
  <c r="F23" i="15"/>
  <c r="D24" i="15" s="1"/>
  <c r="E23" i="6"/>
  <c r="E24" i="6"/>
  <c r="E25" i="6"/>
  <c r="E26" i="6"/>
  <c r="BB13" i="3"/>
  <c r="BC13" i="3"/>
  <c r="BD13" i="3"/>
  <c r="BE13" i="3"/>
  <c r="BF13" i="3"/>
  <c r="BG13" i="3"/>
  <c r="BH13" i="3"/>
  <c r="BI13" i="3"/>
  <c r="BJ13" i="3"/>
  <c r="BK13"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H15" i="3"/>
  <c r="AC15" i="3"/>
  <c r="H16" i="3"/>
  <c r="AC16" i="3"/>
  <c r="H17" i="3"/>
  <c r="AC17" i="3"/>
  <c r="AT5" i="3"/>
  <c r="I5" i="3"/>
  <c r="AD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E59" i="9"/>
  <c r="N55" i="9"/>
  <c r="K55" i="9"/>
  <c r="F59" i="9"/>
  <c r="O55" i="9" s="1"/>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A549" i="3" s="1"/>
  <c r="AZ549" i="3" s="1"/>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L551" i="3" s="1"/>
  <c r="BP551" i="3"/>
  <c r="BR551" i="3"/>
  <c r="BS551" i="3"/>
  <c r="BT551" i="3"/>
  <c r="H552" i="3"/>
  <c r="AC552" i="3"/>
  <c r="G552" i="3"/>
  <c r="BB552" i="3"/>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L563" i="3" s="1"/>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A565" i="3" s="1"/>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A572" i="3" s="1"/>
  <c r="BE572" i="3"/>
  <c r="BF572" i="3"/>
  <c r="BG572" i="3"/>
  <c r="BH572" i="3"/>
  <c r="BI572" i="3"/>
  <c r="BJ572" i="3"/>
  <c r="BK572" i="3"/>
  <c r="BM572" i="3"/>
  <c r="BL572" i="3" s="1"/>
  <c r="BN572" i="3"/>
  <c r="BO572" i="3"/>
  <c r="BP572" i="3"/>
  <c r="BQ572" i="3"/>
  <c r="BR572" i="3"/>
  <c r="BS572" i="3"/>
  <c r="BT572" i="3"/>
  <c r="H573" i="3"/>
  <c r="AC573" i="3"/>
  <c r="BB573" i="3"/>
  <c r="BC573" i="3"/>
  <c r="BD573" i="3"/>
  <c r="BA573" i="3" s="1"/>
  <c r="BE573" i="3"/>
  <c r="BF573" i="3"/>
  <c r="BG573" i="3"/>
  <c r="BH573" i="3"/>
  <c r="BI573" i="3"/>
  <c r="BJ573" i="3"/>
  <c r="BK573" i="3"/>
  <c r="BM573" i="3"/>
  <c r="BL573" i="3" s="1"/>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c r="H31" i="35"/>
  <c r="F31" i="35"/>
  <c r="D87" i="35"/>
  <c r="E87" i="35"/>
  <c r="F87" i="35"/>
  <c r="G87" i="35" s="1"/>
  <c r="H87" i="35" s="1"/>
  <c r="I87" i="35"/>
  <c r="J87" i="35"/>
  <c r="K87" i="35" s="1"/>
  <c r="L87" i="35" s="1"/>
  <c r="M87" i="35" s="1"/>
  <c r="H34" i="37"/>
  <c r="D101" i="37"/>
  <c r="F34" i="37"/>
  <c r="D99" i="37"/>
  <c r="E99" i="37"/>
  <c r="F99" i="37" s="1"/>
  <c r="G99" i="37" s="1"/>
  <c r="H99" i="37"/>
  <c r="I99" i="37"/>
  <c r="J99" i="37" s="1"/>
  <c r="K99" i="37" s="1"/>
  <c r="L99" i="37" s="1"/>
  <c r="M99" i="37"/>
  <c r="H42" i="34"/>
  <c r="J42" i="34"/>
  <c r="W42" i="34"/>
  <c r="F42" i="34"/>
  <c r="S42" i="34" s="1"/>
  <c r="J38" i="34"/>
  <c r="W38" i="34" s="1"/>
  <c r="D114" i="34"/>
  <c r="E114" i="34" s="1"/>
  <c r="F38" i="34"/>
  <c r="S38" i="34" s="1"/>
  <c r="D112" i="34"/>
  <c r="E112" i="34"/>
  <c r="F112" i="34"/>
  <c r="G112" i="34" s="1"/>
  <c r="H112" i="34" s="1"/>
  <c r="I112" i="34" s="1"/>
  <c r="J112" i="34"/>
  <c r="K112" i="34" s="1"/>
  <c r="L112" i="34" s="1"/>
  <c r="M112" i="34"/>
  <c r="F40" i="33"/>
  <c r="J41" i="33"/>
  <c r="D113" i="33"/>
  <c r="F37" i="33"/>
  <c r="D111" i="33"/>
  <c r="E111" i="33" s="1"/>
  <c r="F111" i="33" s="1"/>
  <c r="S515" i="31"/>
  <c r="S516" i="31"/>
  <c r="S517" i="31"/>
  <c r="S518" i="31"/>
  <c r="S519" i="31"/>
  <c r="S520" i="31"/>
  <c r="S521" i="31"/>
  <c r="S522" i="31"/>
  <c r="S523" i="31"/>
  <c r="S524" i="31"/>
  <c r="F41" i="21"/>
  <c r="J41" i="21"/>
  <c r="AC41" i="21"/>
  <c r="H41" i="21"/>
  <c r="U41" i="21" s="1"/>
  <c r="D81" i="39"/>
  <c r="E81" i="39"/>
  <c r="F81" i="39" s="1"/>
  <c r="G81" i="39" s="1"/>
  <c r="H81" i="39" s="1"/>
  <c r="I81" i="39" s="1"/>
  <c r="J81" i="39" s="1"/>
  <c r="K81" i="39" s="1"/>
  <c r="L81" i="39" s="1"/>
  <c r="M81" i="39" s="1"/>
  <c r="D76" i="40"/>
  <c r="E76" i="40" s="1"/>
  <c r="F76" i="40" s="1"/>
  <c r="G76" i="40"/>
  <c r="H76" i="40"/>
  <c r="I76" i="40" s="1"/>
  <c r="J76" i="40" s="1"/>
  <c r="K76" i="40"/>
  <c r="L76" i="40" s="1"/>
  <c r="M76" i="40" s="1"/>
  <c r="B120" i="40"/>
  <c r="B118" i="40"/>
  <c r="H39" i="40" s="1"/>
  <c r="J39" i="40"/>
  <c r="B116" i="40"/>
  <c r="F38" i="40" s="1"/>
  <c r="AA38" i="40"/>
  <c r="D115" i="40"/>
  <c r="E115" i="40" s="1"/>
  <c r="F115" i="40" s="1"/>
  <c r="G115" i="40"/>
  <c r="H115" i="40" s="1"/>
  <c r="I115" i="40" s="1"/>
  <c r="J115" i="40" s="1"/>
  <c r="K115" i="40"/>
  <c r="L115" i="40" s="1"/>
  <c r="M115" i="40" s="1"/>
  <c r="D113" i="40"/>
  <c r="E113" i="40"/>
  <c r="F113" i="40"/>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s="1"/>
  <c r="B103" i="40"/>
  <c r="F32" i="40" s="1"/>
  <c r="B101" i="40"/>
  <c r="J31" i="40"/>
  <c r="AC31" i="40"/>
  <c r="D100" i="40"/>
  <c r="E100" i="40" s="1"/>
  <c r="F100" i="40" s="1"/>
  <c r="G100" i="40" s="1"/>
  <c r="H100" i="40" s="1"/>
  <c r="I100" i="40" s="1"/>
  <c r="J100" i="40"/>
  <c r="K100" i="40"/>
  <c r="L100" i="40" s="1"/>
  <c r="M100" i="40" s="1"/>
  <c r="D98" i="40"/>
  <c r="J28" i="40"/>
  <c r="AC28" i="40" s="1"/>
  <c r="D96" i="40"/>
  <c r="E96" i="40"/>
  <c r="F96" i="40" s="1"/>
  <c r="G96" i="40" s="1"/>
  <c r="H96" i="40" s="1"/>
  <c r="I96" i="40" s="1"/>
  <c r="J96" i="40" s="1"/>
  <c r="K96" i="40" s="1"/>
  <c r="L96" i="40" s="1"/>
  <c r="M96" i="40" s="1"/>
  <c r="B95" i="40"/>
  <c r="D92" i="40"/>
  <c r="E92" i="40" s="1"/>
  <c r="F92" i="40"/>
  <c r="G92" i="40"/>
  <c r="D90" i="40"/>
  <c r="E90" i="40" s="1"/>
  <c r="F90" i="40" s="1"/>
  <c r="G90" i="40"/>
  <c r="D88" i="40"/>
  <c r="E88" i="40" s="1"/>
  <c r="D86" i="40"/>
  <c r="E86" i="40" s="1"/>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U39" i="40"/>
  <c r="Q38" i="40"/>
  <c r="Z38" i="40" s="1"/>
  <c r="H38" i="40"/>
  <c r="AB38" i="40" s="1"/>
  <c r="Q37" i="40"/>
  <c r="Z37" i="40"/>
  <c r="Q36" i="40"/>
  <c r="Z36" i="40" s="1"/>
  <c r="Q35" i="40"/>
  <c r="Z35" i="40"/>
  <c r="Q34" i="40"/>
  <c r="Z34" i="40" s="1"/>
  <c r="J34" i="40"/>
  <c r="AC34" i="40"/>
  <c r="H34" i="40"/>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4" i="39"/>
  <c r="E124" i="39" s="1"/>
  <c r="F124" i="39" s="1"/>
  <c r="G124" i="39"/>
  <c r="H124" i="39"/>
  <c r="I124" i="39" s="1"/>
  <c r="J124" i="39" s="1"/>
  <c r="K124" i="39"/>
  <c r="L124" i="39" s="1"/>
  <c r="M124" i="39" s="1"/>
  <c r="D120" i="39"/>
  <c r="E120" i="39"/>
  <c r="F120" i="39"/>
  <c r="G120" i="39" s="1"/>
  <c r="H120" i="39" s="1"/>
  <c r="I120" i="39" s="1"/>
  <c r="J120" i="39"/>
  <c r="K120" i="39" s="1"/>
  <c r="L120" i="39" s="1"/>
  <c r="M120" i="39" s="1"/>
  <c r="B114" i="39"/>
  <c r="D109" i="39"/>
  <c r="F34" i="39"/>
  <c r="D107" i="39"/>
  <c r="E107" i="39"/>
  <c r="D105" i="39"/>
  <c r="E105" i="39" s="1"/>
  <c r="F105" i="39" s="1"/>
  <c r="G105" i="39" s="1"/>
  <c r="H105" i="39"/>
  <c r="I105" i="39" s="1"/>
  <c r="J105" i="39" s="1"/>
  <c r="K105" i="39" s="1"/>
  <c r="L105" i="39"/>
  <c r="M105" i="39" s="1"/>
  <c r="D101" i="39"/>
  <c r="D99" i="39"/>
  <c r="E99" i="39"/>
  <c r="F99" i="39" s="1"/>
  <c r="G99" i="39" s="1"/>
  <c r="Q39" i="39"/>
  <c r="Z39" i="39"/>
  <c r="Q40" i="39"/>
  <c r="Z40" i="39" s="1"/>
  <c r="Q41" i="39"/>
  <c r="Z41" i="39"/>
  <c r="Q42" i="39"/>
  <c r="Z42" i="39" s="1"/>
  <c r="Q43" i="39"/>
  <c r="Z43" i="39"/>
  <c r="Q44" i="39"/>
  <c r="Z44" i="39" s="1"/>
  <c r="Q45" i="39"/>
  <c r="Z45" i="39"/>
  <c r="Q38" i="39"/>
  <c r="Z38" i="39" s="1"/>
  <c r="Q36" i="39"/>
  <c r="Z36" i="39"/>
  <c r="Q37" i="39"/>
  <c r="Z37" i="39" s="1"/>
  <c r="B131" i="39"/>
  <c r="H45" i="39"/>
  <c r="B129" i="39"/>
  <c r="B127" i="39"/>
  <c r="J43" i="39"/>
  <c r="D126" i="39"/>
  <c r="E126" i="39" s="1"/>
  <c r="F126" i="39" s="1"/>
  <c r="G126" i="39" s="1"/>
  <c r="H126" i="39"/>
  <c r="I126" i="39" s="1"/>
  <c r="J126" i="39" s="1"/>
  <c r="K126" i="39"/>
  <c r="L126" i="39" s="1"/>
  <c r="M126" i="39" s="1"/>
  <c r="D122" i="39"/>
  <c r="E122" i="39"/>
  <c r="F122" i="39"/>
  <c r="G122" i="39" s="1"/>
  <c r="H122" i="39" s="1"/>
  <c r="I122" i="39" s="1"/>
  <c r="J122" i="39" s="1"/>
  <c r="K122" i="39" s="1"/>
  <c r="L122" i="39" s="1"/>
  <c r="M122" i="39" s="1"/>
  <c r="H35" i="39"/>
  <c r="AB35" i="39" s="1"/>
  <c r="B104" i="39"/>
  <c r="D97" i="39"/>
  <c r="J23" i="39"/>
  <c r="AC23" i="39" s="1"/>
  <c r="D95" i="39"/>
  <c r="E95" i="39"/>
  <c r="F95" i="39" s="1"/>
  <c r="D93" i="39"/>
  <c r="E93" i="39"/>
  <c r="F93" i="39"/>
  <c r="G93" i="39" s="1"/>
  <c r="D91" i="39"/>
  <c r="E91" i="39"/>
  <c r="F91" i="39"/>
  <c r="G91" i="39" s="1"/>
  <c r="D89" i="39"/>
  <c r="E89" i="39"/>
  <c r="F89" i="39"/>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c r="Q32" i="39"/>
  <c r="Z32" i="39" s="1"/>
  <c r="Q31" i="39"/>
  <c r="Z31" i="39"/>
  <c r="Q27" i="39"/>
  <c r="Z27" i="39" s="1"/>
  <c r="Q25" i="39"/>
  <c r="Z25" i="39"/>
  <c r="Q23" i="39"/>
  <c r="Z23" i="39" s="1"/>
  <c r="Q21" i="39"/>
  <c r="Z21" i="39"/>
  <c r="Q19" i="39"/>
  <c r="Z19" i="39" s="1"/>
  <c r="Q17" i="39"/>
  <c r="Z17" i="39"/>
  <c r="Q15" i="39"/>
  <c r="Z15" i="39" s="1"/>
  <c r="Q14" i="39"/>
  <c r="Z14" i="39"/>
  <c r="Q13" i="39"/>
  <c r="Z13" i="39" s="1"/>
  <c r="Q12" i="39"/>
  <c r="Z12" i="39"/>
  <c r="Q11" i="39"/>
  <c r="Z11" i="39" s="1"/>
  <c r="Q10" i="39"/>
  <c r="Z10" i="39"/>
  <c r="Q9" i="39"/>
  <c r="Z9" i="39" s="1"/>
  <c r="J9" i="39"/>
  <c r="AC9" i="39"/>
  <c r="H9" i="39"/>
  <c r="AB9" i="39" s="1"/>
  <c r="F9" i="39"/>
  <c r="AA9" i="39"/>
  <c r="J8" i="39"/>
  <c r="AC8" i="39" s="1"/>
  <c r="H8" i="39"/>
  <c r="U8" i="39"/>
  <c r="F8" i="39"/>
  <c r="AA8" i="39" s="1"/>
  <c r="C20" i="36"/>
  <c r="C20" i="35"/>
  <c r="C16" i="36"/>
  <c r="C16" i="35"/>
  <c r="C14" i="36"/>
  <c r="C14" i="35"/>
  <c r="B80" i="37"/>
  <c r="B110" i="37"/>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F27" i="37" s="1"/>
  <c r="H27" i="37"/>
  <c r="B82" i="37"/>
  <c r="D79" i="37"/>
  <c r="E79" i="37"/>
  <c r="D75" i="37"/>
  <c r="E75" i="37"/>
  <c r="D73" i="37"/>
  <c r="E73" i="37"/>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c r="F30" i="37"/>
  <c r="AA30" i="37" s="1"/>
  <c r="Q29" i="37"/>
  <c r="Z29" i="37"/>
  <c r="H29" i="37"/>
  <c r="AB29" i="37" s="1"/>
  <c r="Q28" i="37"/>
  <c r="Z28" i="37"/>
  <c r="Q27" i="37"/>
  <c r="Z27" i="37" s="1"/>
  <c r="Q26" i="37"/>
  <c r="Z26" i="37"/>
  <c r="J26" i="37"/>
  <c r="H26" i="37"/>
  <c r="AB26" i="37"/>
  <c r="F26" i="37"/>
  <c r="AA26" i="37" s="1"/>
  <c r="Q25" i="37"/>
  <c r="Z25" i="37"/>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S8" i="37" s="1"/>
  <c r="J31" i="36"/>
  <c r="AC31" i="36" s="1"/>
  <c r="H31" i="36"/>
  <c r="AB31" i="36"/>
  <c r="F31" i="36"/>
  <c r="S31" i="36"/>
  <c r="M86" i="36"/>
  <c r="L86" i="36"/>
  <c r="K86" i="36"/>
  <c r="J86" i="36"/>
  <c r="I86" i="36"/>
  <c r="H86" i="36"/>
  <c r="G86" i="36"/>
  <c r="F86" i="36"/>
  <c r="E86" i="36"/>
  <c r="D86" i="36"/>
  <c r="C86" i="36"/>
  <c r="D85" i="36"/>
  <c r="E85" i="36" s="1"/>
  <c r="F85" i="36" s="1"/>
  <c r="G85" i="36" s="1"/>
  <c r="H29" i="36"/>
  <c r="D81" i="36"/>
  <c r="E81" i="36" s="1"/>
  <c r="F81" i="36"/>
  <c r="G81" i="36" s="1"/>
  <c r="H81" i="36" s="1"/>
  <c r="I81" i="36"/>
  <c r="J81" i="36" s="1"/>
  <c r="K81" i="36" s="1"/>
  <c r="L81" i="36" s="1"/>
  <c r="M81" i="36" s="1"/>
  <c r="F79" i="36"/>
  <c r="E79" i="36"/>
  <c r="D79" i="36"/>
  <c r="C79" i="36"/>
  <c r="B93" i="36"/>
  <c r="H33" i="36" s="1"/>
  <c r="B91" i="36"/>
  <c r="F32" i="36"/>
  <c r="AA32" i="36" s="1"/>
  <c r="B95" i="36"/>
  <c r="H34" i="36" s="1"/>
  <c r="D83" i="36"/>
  <c r="E83" i="36"/>
  <c r="F83" i="36"/>
  <c r="G83" i="36" s="1"/>
  <c r="H83" i="36" s="1"/>
  <c r="I83" i="36" s="1"/>
  <c r="J83" i="36" s="1"/>
  <c r="K83" i="36" s="1"/>
  <c r="L83" i="36" s="1"/>
  <c r="M83" i="36" s="1"/>
  <c r="D78" i="36"/>
  <c r="E78" i="36" s="1"/>
  <c r="F78" i="36" s="1"/>
  <c r="G78" i="36"/>
  <c r="H78" i="36" s="1"/>
  <c r="I78" i="36" s="1"/>
  <c r="J78" i="36" s="1"/>
  <c r="K78" i="36" s="1"/>
  <c r="L78" i="36" s="1"/>
  <c r="M78" i="36" s="1"/>
  <c r="B75" i="36"/>
  <c r="B73" i="36"/>
  <c r="H24" i="36" s="1"/>
  <c r="AB24" i="36" s="1"/>
  <c r="B71" i="36"/>
  <c r="J23" i="36" s="1"/>
  <c r="D70" i="36"/>
  <c r="H22" i="36"/>
  <c r="AB22" i="36" s="1"/>
  <c r="D68" i="36"/>
  <c r="E68" i="36" s="1"/>
  <c r="F68" i="36" s="1"/>
  <c r="G68" i="36" s="1"/>
  <c r="D64" i="36"/>
  <c r="E64" i="36"/>
  <c r="F64" i="36"/>
  <c r="G64" i="36" s="1"/>
  <c r="J16" i="36"/>
  <c r="W16" i="36"/>
  <c r="D62" i="36"/>
  <c r="E62" i="36" s="1"/>
  <c r="F62" i="36"/>
  <c r="G62" i="36" s="1"/>
  <c r="B59" i="36"/>
  <c r="B57" i="36"/>
  <c r="J12" i="36"/>
  <c r="B55" i="36"/>
  <c r="F54" i="36"/>
  <c r="G54" i="36" s="1"/>
  <c r="H54" i="36"/>
  <c r="I54" i="36"/>
  <c r="C51" i="36"/>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s="1"/>
  <c r="H26" i="36"/>
  <c r="AB26" i="36" s="1"/>
  <c r="Q25" i="36"/>
  <c r="Z25" i="36"/>
  <c r="Q24" i="36"/>
  <c r="Z24" i="36" s="1"/>
  <c r="Q23" i="36"/>
  <c r="Z23" i="36" s="1"/>
  <c r="AC23" i="36"/>
  <c r="H23" i="36"/>
  <c r="AB23" i="36" s="1"/>
  <c r="F23" i="36"/>
  <c r="AA23" i="36" s="1"/>
  <c r="Q22" i="36"/>
  <c r="Z22" i="36" s="1"/>
  <c r="J22" i="36"/>
  <c r="AC22" i="36" s="1"/>
  <c r="Q20" i="36"/>
  <c r="Z20" i="36" s="1"/>
  <c r="Q16" i="36"/>
  <c r="Z16" i="36" s="1"/>
  <c r="Q14" i="36"/>
  <c r="Z14" i="36" s="1"/>
  <c r="Q13" i="36"/>
  <c r="Z13" i="36"/>
  <c r="Q12" i="36"/>
  <c r="Z12" i="36" s="1"/>
  <c r="H12" i="36"/>
  <c r="U12" i="36" s="1"/>
  <c r="Q11" i="36"/>
  <c r="Z11" i="36" s="1"/>
  <c r="Q10" i="36"/>
  <c r="Z10" i="36" s="1"/>
  <c r="F10" i="36"/>
  <c r="AA10" i="36" s="1"/>
  <c r="Q9" i="36"/>
  <c r="Z9" i="36" s="1"/>
  <c r="J9" i="36"/>
  <c r="AC9" i="36" s="1"/>
  <c r="H9" i="36"/>
  <c r="AB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c r="B101" i="35"/>
  <c r="F36" i="35" s="1"/>
  <c r="B99" i="35"/>
  <c r="B97" i="35"/>
  <c r="H34" i="35" s="1"/>
  <c r="B77" i="35"/>
  <c r="B75" i="35"/>
  <c r="B73" i="35"/>
  <c r="H23" i="35"/>
  <c r="U23" i="35" s="1"/>
  <c r="B57" i="35"/>
  <c r="B61" i="35"/>
  <c r="B59" i="35"/>
  <c r="J12" i="35" s="1"/>
  <c r="B131" i="34"/>
  <c r="B129" i="34"/>
  <c r="J46" i="34" s="1"/>
  <c r="B127" i="34"/>
  <c r="B99" i="34"/>
  <c r="B97" i="34"/>
  <c r="B95" i="34"/>
  <c r="H30" i="34" s="1"/>
  <c r="B93" i="34"/>
  <c r="B75" i="34"/>
  <c r="B73" i="34"/>
  <c r="B71" i="34"/>
  <c r="H12" i="34" s="1"/>
  <c r="B130" i="33"/>
  <c r="B128" i="33"/>
  <c r="B126" i="33"/>
  <c r="B98" i="33"/>
  <c r="F31" i="33" s="1"/>
  <c r="B96" i="33"/>
  <c r="B94" i="33"/>
  <c r="B74" i="33"/>
  <c r="B72" i="33"/>
  <c r="B70" i="33"/>
  <c r="J12" i="33"/>
  <c r="D96" i="35"/>
  <c r="E96" i="35"/>
  <c r="F96" i="35" s="1"/>
  <c r="G96" i="35" s="1"/>
  <c r="D94" i="35"/>
  <c r="E94" i="35" s="1"/>
  <c r="F94" i="35" s="1"/>
  <c r="G94" i="35"/>
  <c r="H94" i="35" s="1"/>
  <c r="I94" i="35" s="1"/>
  <c r="J94" i="35" s="1"/>
  <c r="K94" i="35" s="1"/>
  <c r="L94" i="35" s="1"/>
  <c r="M94" i="35" s="1"/>
  <c r="D84" i="35"/>
  <c r="E84" i="35"/>
  <c r="F84" i="35"/>
  <c r="G84" i="35"/>
  <c r="H84" i="35" s="1"/>
  <c r="I84" i="35"/>
  <c r="J84" i="35" s="1"/>
  <c r="K84" i="35" s="1"/>
  <c r="L84" i="35" s="1"/>
  <c r="M84" i="35" s="1"/>
  <c r="D80" i="35"/>
  <c r="E80" i="35" s="1"/>
  <c r="F80" i="35" s="1"/>
  <c r="G80" i="35"/>
  <c r="H80" i="35"/>
  <c r="I80" i="35" s="1"/>
  <c r="J80" i="35" s="1"/>
  <c r="K80" i="35" s="1"/>
  <c r="L80" i="35" s="1"/>
  <c r="M80" i="35" s="1"/>
  <c r="D72" i="35"/>
  <c r="E72" i="35"/>
  <c r="F72" i="35"/>
  <c r="G72" i="35" s="1"/>
  <c r="D70" i="35"/>
  <c r="E70" i="35"/>
  <c r="F70" i="35"/>
  <c r="G70" i="35" s="1"/>
  <c r="D66" i="35"/>
  <c r="E66" i="35"/>
  <c r="F66" i="35"/>
  <c r="G66" i="35" s="1"/>
  <c r="D64" i="35"/>
  <c r="E64" i="35"/>
  <c r="F64" i="35"/>
  <c r="G64" i="35" s="1"/>
  <c r="J14" i="35"/>
  <c r="W14" i="35"/>
  <c r="F56" i="35"/>
  <c r="G56" i="35" s="1"/>
  <c r="H56" i="35" s="1"/>
  <c r="I56" i="35" s="1"/>
  <c r="C53" i="35"/>
  <c r="J9" i="35"/>
  <c r="P39" i="35"/>
  <c r="P38" i="35"/>
  <c r="V37" i="35"/>
  <c r="T37" i="35"/>
  <c r="R37" i="35"/>
  <c r="P37" i="35"/>
  <c r="Q36" i="35"/>
  <c r="Z36" i="35"/>
  <c r="Q35" i="35"/>
  <c r="Z35" i="35" s="1"/>
  <c r="Q34" i="35"/>
  <c r="Z34" i="35"/>
  <c r="J34" i="35"/>
  <c r="AC34" i="35" s="1"/>
  <c r="AB34" i="35"/>
  <c r="F34" i="35"/>
  <c r="AA34" i="35"/>
  <c r="Q33" i="35"/>
  <c r="Z33" i="35"/>
  <c r="Q32" i="35"/>
  <c r="Z32" i="35"/>
  <c r="H32" i="35"/>
  <c r="AB32" i="35"/>
  <c r="F32" i="35"/>
  <c r="AA32" i="35"/>
  <c r="Q31" i="35"/>
  <c r="Z31" i="35"/>
  <c r="AC31" i="35"/>
  <c r="AB31" i="35"/>
  <c r="AA31" i="35"/>
  <c r="Q30" i="35"/>
  <c r="Z30" i="35" s="1"/>
  <c r="Q29" i="35"/>
  <c r="Z29" i="35" s="1"/>
  <c r="Q28" i="35"/>
  <c r="Z28" i="35"/>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c r="Q12" i="35"/>
  <c r="Z12" i="35" s="1"/>
  <c r="W12" i="35"/>
  <c r="H12" i="35"/>
  <c r="F12" i="35"/>
  <c r="S12" i="35" s="1"/>
  <c r="Q11" i="35"/>
  <c r="Z11" i="35" s="1"/>
  <c r="Q10" i="35"/>
  <c r="Z10" i="35"/>
  <c r="Q9" i="35"/>
  <c r="Z9" i="35" s="1"/>
  <c r="J8" i="35"/>
  <c r="H8" i="35"/>
  <c r="AB8" i="35" s="1"/>
  <c r="F8" i="35"/>
  <c r="AA8" i="35"/>
  <c r="D120" i="34"/>
  <c r="E120" i="34" s="1"/>
  <c r="F120" i="34"/>
  <c r="G120" i="34" s="1"/>
  <c r="H120" i="34"/>
  <c r="I120" i="34" s="1"/>
  <c r="J120" i="34"/>
  <c r="K120" i="34" s="1"/>
  <c r="L120" i="34" s="1"/>
  <c r="M120" i="34" s="1"/>
  <c r="D90" i="34"/>
  <c r="E90" i="34" s="1"/>
  <c r="F90" i="34" s="1"/>
  <c r="G90" i="34" s="1"/>
  <c r="H90" i="34" s="1"/>
  <c r="I90" i="34" s="1"/>
  <c r="J90" i="34" s="1"/>
  <c r="K90" i="34" s="1"/>
  <c r="L90" i="34" s="1"/>
  <c r="M90" i="34" s="1"/>
  <c r="C15" i="34"/>
  <c r="F67" i="34"/>
  <c r="G67" i="34"/>
  <c r="H67" i="34" s="1"/>
  <c r="D126" i="34"/>
  <c r="E126" i="34"/>
  <c r="F126" i="34" s="1"/>
  <c r="G126" i="34" s="1"/>
  <c r="D124" i="34"/>
  <c r="E124" i="34" s="1"/>
  <c r="F124" i="34" s="1"/>
  <c r="G124" i="34"/>
  <c r="H124" i="34" s="1"/>
  <c r="I124" i="34" s="1"/>
  <c r="J124" i="34" s="1"/>
  <c r="K124" i="34" s="1"/>
  <c r="L124" i="34" s="1"/>
  <c r="M124" i="34" s="1"/>
  <c r="H43" i="34"/>
  <c r="AB43" i="34"/>
  <c r="D118" i="34"/>
  <c r="E118" i="34"/>
  <c r="F118" i="34" s="1"/>
  <c r="G118" i="34"/>
  <c r="D116" i="34"/>
  <c r="E116" i="34"/>
  <c r="F116" i="34" s="1"/>
  <c r="G116" i="34"/>
  <c r="H116" i="34"/>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c r="F107" i="34" s="1"/>
  <c r="G107" i="34" s="1"/>
  <c r="H107" i="34"/>
  <c r="I107" i="34" s="1"/>
  <c r="J107" i="34" s="1"/>
  <c r="K107" i="34"/>
  <c r="L107" i="34" s="1"/>
  <c r="M107" i="34" s="1"/>
  <c r="F35" i="34"/>
  <c r="AA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D88" i="34"/>
  <c r="E88" i="34" s="1"/>
  <c r="F88" i="34"/>
  <c r="G88" i="34" s="1"/>
  <c r="H88" i="34" s="1"/>
  <c r="I88" i="34" s="1"/>
  <c r="J88" i="34" s="1"/>
  <c r="K88" i="34" s="1"/>
  <c r="L88" i="34" s="1"/>
  <c r="M88" i="34" s="1"/>
  <c r="D86" i="34"/>
  <c r="E86" i="34"/>
  <c r="F86" i="34"/>
  <c r="G86" i="34" s="1"/>
  <c r="D82" i="34"/>
  <c r="E82" i="34" s="1"/>
  <c r="F82" i="34" s="1"/>
  <c r="G82" i="34" s="1"/>
  <c r="D80" i="34"/>
  <c r="E80" i="34"/>
  <c r="F80" i="34" s="1"/>
  <c r="G80" i="34" s="1"/>
  <c r="D78" i="34"/>
  <c r="E78" i="34" s="1"/>
  <c r="F78" i="34" s="1"/>
  <c r="G78" i="34" s="1"/>
  <c r="D70" i="34"/>
  <c r="E70" i="34"/>
  <c r="F70" i="34" s="1"/>
  <c r="G70" i="34" s="1"/>
  <c r="M68" i="34"/>
  <c r="L68" i="34"/>
  <c r="K68" i="34"/>
  <c r="J68" i="34"/>
  <c r="I68" i="34"/>
  <c r="H68" i="34"/>
  <c r="G68" i="34"/>
  <c r="F68" i="34"/>
  <c r="E68" i="34"/>
  <c r="D68" i="34"/>
  <c r="C68" i="34"/>
  <c r="C64" i="34"/>
  <c r="H9" i="34" s="1"/>
  <c r="AB9" i="34" s="1"/>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c r="H39" i="34"/>
  <c r="AB39" i="34" s="1"/>
  <c r="Q38" i="34"/>
  <c r="Z38" i="34" s="1"/>
  <c r="Q37" i="34"/>
  <c r="Z37" i="34" s="1"/>
  <c r="Q36" i="34"/>
  <c r="Z36" i="34"/>
  <c r="Q35" i="34"/>
  <c r="Z35" i="34" s="1"/>
  <c r="Q34" i="34"/>
  <c r="Z34" i="34"/>
  <c r="J34" i="34"/>
  <c r="AC34" i="34" s="1"/>
  <c r="H34" i="34"/>
  <c r="AB34" i="34"/>
  <c r="F34" i="34"/>
  <c r="AA34" i="34" s="1"/>
  <c r="Q33" i="34"/>
  <c r="Z33" i="34" s="1"/>
  <c r="Q32" i="34"/>
  <c r="Z32" i="34" s="1"/>
  <c r="Q31" i="34"/>
  <c r="Z31" i="34"/>
  <c r="Q30" i="34"/>
  <c r="Z30" i="34" s="1"/>
  <c r="Q29" i="34"/>
  <c r="Z29" i="34" s="1"/>
  <c r="Q28" i="34"/>
  <c r="Z28" i="34" s="1"/>
  <c r="Q27" i="34"/>
  <c r="Z27" i="34"/>
  <c r="Q25" i="34"/>
  <c r="Z25" i="34" s="1"/>
  <c r="Q23" i="34"/>
  <c r="Z23" i="34" s="1"/>
  <c r="C23" i="34"/>
  <c r="Q19" i="34"/>
  <c r="Z19" i="34"/>
  <c r="C19" i="34"/>
  <c r="Q17" i="34"/>
  <c r="Z17" i="34" s="1"/>
  <c r="C17" i="34"/>
  <c r="Q15" i="34"/>
  <c r="Z15" i="34" s="1"/>
  <c r="Q14" i="34"/>
  <c r="Z14" i="34"/>
  <c r="Q13" i="34"/>
  <c r="Z13" i="34" s="1"/>
  <c r="Q12" i="34"/>
  <c r="Z12" i="34"/>
  <c r="J12" i="34"/>
  <c r="W12" i="34" s="1"/>
  <c r="F12" i="34"/>
  <c r="S12" i="34" s="1"/>
  <c r="Q11" i="34"/>
  <c r="Z11" i="34" s="1"/>
  <c r="Q10" i="34"/>
  <c r="Z10" i="34"/>
  <c r="F10" i="34"/>
  <c r="AA10" i="34" s="1"/>
  <c r="Q9" i="34"/>
  <c r="Z9" i="34" s="1"/>
  <c r="J9" i="34"/>
  <c r="AC9" i="34" s="1"/>
  <c r="J8" i="34"/>
  <c r="AC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D106" i="33"/>
  <c r="E106" i="33" s="1"/>
  <c r="M102" i="33"/>
  <c r="L102" i="33"/>
  <c r="K102" i="33"/>
  <c r="J102" i="33"/>
  <c r="I102" i="33"/>
  <c r="H102" i="33"/>
  <c r="G102" i="33"/>
  <c r="F102" i="33"/>
  <c r="E102" i="33"/>
  <c r="D102" i="33"/>
  <c r="C102" i="33"/>
  <c r="D101" i="33"/>
  <c r="E101" i="33"/>
  <c r="B92" i="33"/>
  <c r="F28" i="33" s="1"/>
  <c r="B90" i="33"/>
  <c r="F27" i="33" s="1"/>
  <c r="D87" i="33"/>
  <c r="E87" i="33"/>
  <c r="D85" i="33"/>
  <c r="E85" i="33" s="1"/>
  <c r="F85" i="33" s="1"/>
  <c r="D81" i="33"/>
  <c r="E81" i="33"/>
  <c r="D79" i="33"/>
  <c r="E79" i="33" s="1"/>
  <c r="F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c r="Q38" i="33"/>
  <c r="Z38" i="33" s="1"/>
  <c r="J38" i="33"/>
  <c r="AC38" i="33" s="1"/>
  <c r="H38" i="33"/>
  <c r="AB38" i="33" s="1"/>
  <c r="F38" i="33"/>
  <c r="AA38" i="33"/>
  <c r="Q37" i="33"/>
  <c r="Z37" i="33" s="1"/>
  <c r="Q36" i="33"/>
  <c r="Z36" i="33" s="1"/>
  <c r="Q35" i="33"/>
  <c r="Z35" i="33" s="1"/>
  <c r="H35" i="33"/>
  <c r="AB35" i="33" s="1"/>
  <c r="Q34" i="33"/>
  <c r="Z34" i="33" s="1"/>
  <c r="Q33" i="33"/>
  <c r="Z33" i="33" s="1"/>
  <c r="J33" i="33"/>
  <c r="AC33" i="33" s="1"/>
  <c r="H33" i="33"/>
  <c r="AB33" i="33"/>
  <c r="F33" i="33"/>
  <c r="AA33" i="33" s="1"/>
  <c r="Q32" i="33"/>
  <c r="Z32" i="33" s="1"/>
  <c r="Q31" i="33"/>
  <c r="Z31" i="33" s="1"/>
  <c r="Q30" i="33"/>
  <c r="Z30" i="33" s="1"/>
  <c r="Q29" i="33"/>
  <c r="Z29" i="33" s="1"/>
  <c r="Q28" i="33"/>
  <c r="Z28" i="33"/>
  <c r="Q27" i="33"/>
  <c r="Z27" i="33" s="1"/>
  <c r="Q26" i="33"/>
  <c r="Z26" i="33"/>
  <c r="Q25" i="33"/>
  <c r="Z25" i="33" s="1"/>
  <c r="Q23" i="33"/>
  <c r="Z23" i="33" s="1"/>
  <c r="Q19" i="33"/>
  <c r="Z19" i="33" s="1"/>
  <c r="Q17" i="33"/>
  <c r="Z17" i="33"/>
  <c r="Q15" i="33"/>
  <c r="Z15" i="33" s="1"/>
  <c r="F15" i="33"/>
  <c r="AA15" i="33"/>
  <c r="Q14" i="33"/>
  <c r="Z14" i="33" s="1"/>
  <c r="Q13" i="33"/>
  <c r="Z13" i="33"/>
  <c r="Q12" i="33"/>
  <c r="Z12" i="33" s="1"/>
  <c r="H12" i="33"/>
  <c r="U12" i="33" s="1"/>
  <c r="Q11" i="33"/>
  <c r="Z11" i="33" s="1"/>
  <c r="Q10" i="33"/>
  <c r="Z10" i="33"/>
  <c r="Q9" i="33"/>
  <c r="Z9" i="33" s="1"/>
  <c r="J9" i="33"/>
  <c r="AC9" i="33" s="1"/>
  <c r="H9" i="33"/>
  <c r="AB9" i="33" s="1"/>
  <c r="AA9" i="33"/>
  <c r="J8" i="33"/>
  <c r="AC8" i="33" s="1"/>
  <c r="H8" i="33"/>
  <c r="AB8" i="33" s="1"/>
  <c r="F8" i="33"/>
  <c r="AA8" i="33" s="1"/>
  <c r="M102" i="21"/>
  <c r="D102" i="21"/>
  <c r="E102" i="21"/>
  <c r="F102" i="21"/>
  <c r="G102" i="21"/>
  <c r="H102" i="21"/>
  <c r="I102" i="21"/>
  <c r="J102" i="21"/>
  <c r="K102" i="21"/>
  <c r="L102" i="21"/>
  <c r="C102" i="21"/>
  <c r="C63" i="21"/>
  <c r="F9" i="21"/>
  <c r="G18" i="20"/>
  <c r="B88" i="43" s="1"/>
  <c r="G19" i="20"/>
  <c r="B85" i="43"/>
  <c r="G16" i="20"/>
  <c r="B82" i="43" s="1"/>
  <c r="G15" i="20"/>
  <c r="B81" i="43"/>
  <c r="C24" i="20"/>
  <c r="B73" i="43" s="1"/>
  <c r="C21" i="20"/>
  <c r="B74" i="43"/>
  <c r="C20" i="20"/>
  <c r="B77" i="43" s="1"/>
  <c r="C18" i="20"/>
  <c r="B71" i="43"/>
  <c r="C17" i="20"/>
  <c r="B59" i="43" s="1"/>
  <c r="C16" i="20"/>
  <c r="C17" i="39"/>
  <c r="C15" i="20"/>
  <c r="B70" i="43" s="1"/>
  <c r="E54" i="21"/>
  <c r="F54" i="21"/>
  <c r="I54" i="21"/>
  <c r="J54" i="21" s="1"/>
  <c r="G54" i="21"/>
  <c r="H54" i="21"/>
  <c r="D125" i="21"/>
  <c r="E125" i="21" s="1"/>
  <c r="F125" i="21" s="1"/>
  <c r="G125" i="21"/>
  <c r="D123" i="21"/>
  <c r="E123" i="21" s="1"/>
  <c r="F123" i="21" s="1"/>
  <c r="G123" i="21" s="1"/>
  <c r="H123" i="21" s="1"/>
  <c r="I123" i="21" s="1"/>
  <c r="J123" i="21" s="1"/>
  <c r="F42" i="21"/>
  <c r="AA42" i="21"/>
  <c r="D119" i="21"/>
  <c r="E119" i="21" s="1"/>
  <c r="F40" i="21"/>
  <c r="AA40" i="21"/>
  <c r="D117" i="21"/>
  <c r="E117" i="21"/>
  <c r="F117" i="21" s="1"/>
  <c r="G117" i="21" s="1"/>
  <c r="D115" i="21"/>
  <c r="E115" i="21"/>
  <c r="F115" i="21" s="1"/>
  <c r="G115" i="21"/>
  <c r="H115" i="21" s="1"/>
  <c r="I115" i="21" s="1"/>
  <c r="J115" i="21" s="1"/>
  <c r="K115" i="21" s="1"/>
  <c r="L115" i="21" s="1"/>
  <c r="M115" i="21" s="1"/>
  <c r="D113" i="21"/>
  <c r="E113" i="21"/>
  <c r="F113" i="21"/>
  <c r="G113" i="21"/>
  <c r="H113" i="21" s="1"/>
  <c r="D110" i="21"/>
  <c r="E110" i="21"/>
  <c r="F110" i="21"/>
  <c r="G110" i="21" s="1"/>
  <c r="H110" i="2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c r="F101" i="21"/>
  <c r="G101" i="21" s="1"/>
  <c r="H101" i="21"/>
  <c r="D89" i="21"/>
  <c r="E89" i="21"/>
  <c r="F89" i="21" s="1"/>
  <c r="G89" i="21"/>
  <c r="H89" i="21"/>
  <c r="I89" i="21" s="1"/>
  <c r="J89" i="21" s="1"/>
  <c r="K89" i="21" s="1"/>
  <c r="L89" i="21" s="1"/>
  <c r="M89" i="21" s="1"/>
  <c r="D67" i="21"/>
  <c r="E67" i="21"/>
  <c r="F67" i="21"/>
  <c r="G67" i="21"/>
  <c r="H67" i="21"/>
  <c r="I67" i="21"/>
  <c r="J67" i="21"/>
  <c r="K67" i="21"/>
  <c r="L67" i="21"/>
  <c r="M67" i="21"/>
  <c r="C67" i="21"/>
  <c r="D69" i="21"/>
  <c r="E69" i="21" s="1"/>
  <c r="F69" i="21" s="1"/>
  <c r="G69" i="2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s="1"/>
  <c r="G81" i="21" s="1"/>
  <c r="D77" i="21"/>
  <c r="E77" i="21" s="1"/>
  <c r="B130" i="21"/>
  <c r="B128" i="21"/>
  <c r="J45" i="21"/>
  <c r="W45" i="21" s="1"/>
  <c r="B126" i="21"/>
  <c r="H44" i="21" s="1"/>
  <c r="B98" i="21"/>
  <c r="H31" i="21"/>
  <c r="B96" i="21"/>
  <c r="B94" i="21"/>
  <c r="B92" i="21"/>
  <c r="F28" i="21" s="1"/>
  <c r="B90" i="21"/>
  <c r="J27" i="21" s="1"/>
  <c r="W27" i="21"/>
  <c r="B74" i="21"/>
  <c r="B72" i="21"/>
  <c r="H13" i="21" s="1"/>
  <c r="B70" i="21"/>
  <c r="F12" i="21"/>
  <c r="S12" i="21"/>
  <c r="C19" i="21"/>
  <c r="C17" i="21"/>
  <c r="C23" i="21"/>
  <c r="Q9" i="21"/>
  <c r="Z9" i="21" s="1"/>
  <c r="Q10" i="21"/>
  <c r="Z10" i="21" s="1"/>
  <c r="Q11" i="21"/>
  <c r="Z11" i="21" s="1"/>
  <c r="Q12" i="21"/>
  <c r="Z12" i="21"/>
  <c r="Q13" i="21"/>
  <c r="Z13" i="21" s="1"/>
  <c r="Q14" i="21"/>
  <c r="Z14" i="2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c r="Q41" i="21"/>
  <c r="Z41" i="21" s="1"/>
  <c r="Q42" i="21"/>
  <c r="Z42" i="21"/>
  <c r="J43" i="21"/>
  <c r="AC43" i="21" s="1"/>
  <c r="Q43" i="21"/>
  <c r="Z43" i="21" s="1"/>
  <c r="Q44" i="21"/>
  <c r="Z44" i="21" s="1"/>
  <c r="Q45" i="21"/>
  <c r="Z45" i="21"/>
  <c r="Q46" i="21"/>
  <c r="Z46" i="21"/>
  <c r="P47" i="21"/>
  <c r="R47" i="21"/>
  <c r="T47" i="21"/>
  <c r="V47" i="21"/>
  <c r="P48" i="21"/>
  <c r="P49" i="21"/>
  <c r="F8" i="21"/>
  <c r="AA8" i="21"/>
  <c r="E10" i="11"/>
  <c r="E9" i="11"/>
  <c r="BB12" i="3"/>
  <c r="G7" i="12"/>
  <c r="K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J5" i="3"/>
  <c r="AK5" i="3"/>
  <c r="AN5" i="3"/>
  <c r="AO5" i="3"/>
  <c r="AQ5" i="3"/>
  <c r="AR5" i="3"/>
  <c r="AS5" i="3"/>
  <c r="L5" i="3"/>
  <c r="M5" i="3"/>
  <c r="N5" i="3"/>
  <c r="O5" i="3"/>
  <c r="E21" i="6" s="1"/>
  <c r="P5" i="3"/>
  <c r="Q5" i="3"/>
  <c r="E22" i="6" s="1"/>
  <c r="K9" i="1" s="1"/>
  <c r="M9" i="1" s="1"/>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U43" i="21" s="1"/>
  <c r="F38" i="21"/>
  <c r="S38" i="21"/>
  <c r="F36" i="21"/>
  <c r="S36" i="21" s="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s="1"/>
  <c r="J12" i="21"/>
  <c r="AC12" i="21" s="1"/>
  <c r="H12" i="21"/>
  <c r="AB12" i="21"/>
  <c r="J26" i="21"/>
  <c r="W26" i="21" s="1"/>
  <c r="F26" i="21"/>
  <c r="S26" i="21"/>
  <c r="AB41" i="21"/>
  <c r="S41" i="21"/>
  <c r="AA41" i="21"/>
  <c r="F45" i="39"/>
  <c r="S45" i="39"/>
  <c r="J45" i="39"/>
  <c r="W45" i="39"/>
  <c r="J44" i="39"/>
  <c r="W44" i="39" s="1"/>
  <c r="AC44" i="39"/>
  <c r="F36" i="39"/>
  <c r="S36" i="39"/>
  <c r="H36" i="39"/>
  <c r="AB36" i="39"/>
  <c r="J35" i="39"/>
  <c r="AC35" i="39"/>
  <c r="F35" i="39"/>
  <c r="S35" i="39" s="1"/>
  <c r="AA35" i="39"/>
  <c r="J36" i="39"/>
  <c r="AC36" i="39"/>
  <c r="U9" i="39"/>
  <c r="W40" i="39"/>
  <c r="U30" i="37"/>
  <c r="W31" i="37"/>
  <c r="E103" i="37"/>
  <c r="F103" i="37" s="1"/>
  <c r="G103" i="37"/>
  <c r="H103" i="37" s="1"/>
  <c r="I103" i="37" s="1"/>
  <c r="J103" i="37" s="1"/>
  <c r="K103" i="37" s="1"/>
  <c r="L103" i="37" s="1"/>
  <c r="M103" i="37" s="1"/>
  <c r="U14" i="37"/>
  <c r="F29" i="36"/>
  <c r="AA29" i="36" s="1"/>
  <c r="W8" i="36"/>
  <c r="F16" i="36"/>
  <c r="AA16" i="36"/>
  <c r="U9" i="36"/>
  <c r="W28" i="36"/>
  <c r="S30" i="36"/>
  <c r="AA31" i="36"/>
  <c r="W31" i="36"/>
  <c r="U31" i="36"/>
  <c r="J33" i="36"/>
  <c r="H22" i="35"/>
  <c r="AB22" i="35"/>
  <c r="AC27" i="35"/>
  <c r="W28" i="35"/>
  <c r="U31" i="35"/>
  <c r="S34" i="35"/>
  <c r="W34" i="35"/>
  <c r="W22" i="35"/>
  <c r="S31" i="35"/>
  <c r="U34" i="35"/>
  <c r="F36" i="34"/>
  <c r="J35" i="34"/>
  <c r="S34" i="34"/>
  <c r="U34" i="34"/>
  <c r="H39" i="33"/>
  <c r="AB39" i="33"/>
  <c r="F26" i="33"/>
  <c r="AA26" i="33" s="1"/>
  <c r="S9" i="33"/>
  <c r="U33" i="33"/>
  <c r="U35" i="33"/>
  <c r="S40" i="33"/>
  <c r="W33" i="33"/>
  <c r="W39" i="33"/>
  <c r="H39" i="37"/>
  <c r="AB39" i="37" s="1"/>
  <c r="S27" i="35"/>
  <c r="F11" i="40"/>
  <c r="AA11" i="40" s="1"/>
  <c r="H11" i="40"/>
  <c r="AB11" i="40"/>
  <c r="AB39" i="40"/>
  <c r="AC40" i="40"/>
  <c r="AA9" i="40"/>
  <c r="AC9" i="40"/>
  <c r="U9" i="40"/>
  <c r="S34" i="40"/>
  <c r="U38" i="40"/>
  <c r="S40" i="40"/>
  <c r="W31" i="40"/>
  <c r="S38" i="40"/>
  <c r="U40" i="40"/>
  <c r="F42" i="39"/>
  <c r="AA42" i="39" s="1"/>
  <c r="F41" i="39"/>
  <c r="S41" i="39"/>
  <c r="H40" i="39"/>
  <c r="AB40" i="39" s="1"/>
  <c r="H39" i="39"/>
  <c r="U39" i="39" s="1"/>
  <c r="H34" i="39"/>
  <c r="U34" i="39" s="1"/>
  <c r="E109" i="39"/>
  <c r="H31" i="39"/>
  <c r="AB31" i="39"/>
  <c r="F31" i="39"/>
  <c r="AA31" i="39" s="1"/>
  <c r="E101" i="39"/>
  <c r="H19" i="39"/>
  <c r="AB19" i="39" s="1"/>
  <c r="F19" i="39"/>
  <c r="AA19" i="39" s="1"/>
  <c r="H17" i="39"/>
  <c r="AB17" i="39"/>
  <c r="F17" i="39"/>
  <c r="AA17" i="39" s="1"/>
  <c r="J23" i="40"/>
  <c r="AC23" i="40"/>
  <c r="F21" i="40"/>
  <c r="AA21" i="40" s="1"/>
  <c r="J21" i="40"/>
  <c r="W21" i="40" s="1"/>
  <c r="H42" i="39"/>
  <c r="AB42" i="39" s="1"/>
  <c r="J34" i="39"/>
  <c r="AC34" i="39" s="1"/>
  <c r="F109" i="39"/>
  <c r="G109" i="39" s="1"/>
  <c r="H109" i="39"/>
  <c r="I109" i="39"/>
  <c r="J109" i="39" s="1"/>
  <c r="K109" i="39" s="1"/>
  <c r="L109" i="39" s="1"/>
  <c r="M109" i="39" s="1"/>
  <c r="J31" i="39"/>
  <c r="AC31" i="39" s="1"/>
  <c r="F101" i="39"/>
  <c r="H27" i="39"/>
  <c r="U27" i="39"/>
  <c r="J19" i="39"/>
  <c r="AC19" i="39" s="1"/>
  <c r="J17" i="39"/>
  <c r="J27" i="39"/>
  <c r="W27" i="39" s="1"/>
  <c r="AC27" i="39"/>
  <c r="F27" i="39"/>
  <c r="F11" i="21"/>
  <c r="S11" i="21" s="1"/>
  <c r="S40" i="21"/>
  <c r="U34" i="21"/>
  <c r="S34" i="21"/>
  <c r="C25" i="39"/>
  <c r="C27" i="39"/>
  <c r="C21" i="39"/>
  <c r="S40" i="39"/>
  <c r="H32" i="33"/>
  <c r="AB32" i="33"/>
  <c r="H11" i="21"/>
  <c r="AB11" i="21" s="1"/>
  <c r="U11" i="21"/>
  <c r="J11" i="21"/>
  <c r="W11" i="21"/>
  <c r="H37" i="40"/>
  <c r="U37" i="40"/>
  <c r="H36" i="40"/>
  <c r="AB36" i="40"/>
  <c r="F35" i="40"/>
  <c r="AA35" i="40"/>
  <c r="H23" i="40"/>
  <c r="AB23" i="40"/>
  <c r="H17" i="40"/>
  <c r="U17" i="40"/>
  <c r="J15" i="40"/>
  <c r="W15" i="40"/>
  <c r="J11" i="40"/>
  <c r="W11" i="40"/>
  <c r="AB8" i="39"/>
  <c r="AA12" i="34"/>
  <c r="AB12" i="36"/>
  <c r="J34" i="36"/>
  <c r="W34" i="36" s="1"/>
  <c r="U30" i="36"/>
  <c r="J30" i="35"/>
  <c r="W30" i="35"/>
  <c r="H30" i="35"/>
  <c r="F22" i="35"/>
  <c r="AA22" i="35"/>
  <c r="H10" i="35"/>
  <c r="U10" i="35" s="1"/>
  <c r="AC16" i="36"/>
  <c r="F33" i="36"/>
  <c r="AA33" i="36"/>
  <c r="H16" i="36"/>
  <c r="AB16" i="36" s="1"/>
  <c r="H85" i="36"/>
  <c r="I85" i="36" s="1"/>
  <c r="J85" i="36" s="1"/>
  <c r="K85" i="36" s="1"/>
  <c r="L85" i="36" s="1"/>
  <c r="M85" i="36" s="1"/>
  <c r="J29" i="36"/>
  <c r="AC29" i="36"/>
  <c r="F12" i="36"/>
  <c r="S12" i="36" s="1"/>
  <c r="F24" i="36"/>
  <c r="F34" i="36"/>
  <c r="S34" i="36" s="1"/>
  <c r="S10" i="36"/>
  <c r="AB8" i="36"/>
  <c r="U8" i="35"/>
  <c r="F14" i="35"/>
  <c r="AA14" i="35" s="1"/>
  <c r="F23" i="35"/>
  <c r="AA23" i="35" s="1"/>
  <c r="J32" i="35"/>
  <c r="AC32" i="35" s="1"/>
  <c r="J16" i="35"/>
  <c r="AC16" i="35"/>
  <c r="H16" i="35"/>
  <c r="U16" i="35" s="1"/>
  <c r="F16" i="35"/>
  <c r="S16" i="35"/>
  <c r="H14" i="35"/>
  <c r="J29" i="35"/>
  <c r="H33" i="35"/>
  <c r="AB33" i="35"/>
  <c r="J20" i="35"/>
  <c r="F35" i="37"/>
  <c r="S35" i="37" s="1"/>
  <c r="E101" i="37"/>
  <c r="F101" i="37"/>
  <c r="G101" i="37" s="1"/>
  <c r="H101" i="37" s="1"/>
  <c r="I101" i="37" s="1"/>
  <c r="J101" i="37" s="1"/>
  <c r="K101" i="37"/>
  <c r="L101" i="37" s="1"/>
  <c r="M101" i="37" s="1"/>
  <c r="J34" i="37"/>
  <c r="W34" i="37"/>
  <c r="S10" i="37"/>
  <c r="AB34" i="37"/>
  <c r="J33" i="37"/>
  <c r="AC33" i="37" s="1"/>
  <c r="U42" i="34"/>
  <c r="H40" i="34"/>
  <c r="U40" i="34" s="1"/>
  <c r="H36" i="34"/>
  <c r="U36" i="34"/>
  <c r="F37" i="34"/>
  <c r="AA37" i="34" s="1"/>
  <c r="S35" i="34"/>
  <c r="F28" i="34"/>
  <c r="AA28" i="34"/>
  <c r="F25" i="34"/>
  <c r="S25" i="34"/>
  <c r="H23" i="34"/>
  <c r="U23" i="34"/>
  <c r="J23" i="34"/>
  <c r="F19" i="34"/>
  <c r="H17" i="34"/>
  <c r="U17" i="34"/>
  <c r="F15" i="34"/>
  <c r="J15" i="34"/>
  <c r="H15" i="34"/>
  <c r="AB15" i="34"/>
  <c r="W8" i="34"/>
  <c r="J28" i="34"/>
  <c r="W28" i="34"/>
  <c r="F41" i="33"/>
  <c r="AA41" i="33"/>
  <c r="S38" i="33"/>
  <c r="E113" i="33"/>
  <c r="F113" i="33" s="1"/>
  <c r="F32" i="33"/>
  <c r="AA32" i="33"/>
  <c r="J19" i="33"/>
  <c r="AC19" i="33"/>
  <c r="J15" i="33"/>
  <c r="AC15" i="33"/>
  <c r="F11" i="33"/>
  <c r="AA11" i="33"/>
  <c r="U40" i="33"/>
  <c r="W40" i="33"/>
  <c r="U8" i="33"/>
  <c r="S8" i="33"/>
  <c r="F37" i="40"/>
  <c r="AA37" i="40" s="1"/>
  <c r="F36" i="40"/>
  <c r="H28" i="40"/>
  <c r="U28" i="40" s="1"/>
  <c r="F23" i="40"/>
  <c r="AA23" i="40"/>
  <c r="F17" i="40"/>
  <c r="AA17" i="40" s="1"/>
  <c r="J17" i="40"/>
  <c r="W17" i="40"/>
  <c r="F15" i="40"/>
  <c r="H15" i="40"/>
  <c r="AB15" i="40"/>
  <c r="AC11" i="40"/>
  <c r="AA12" i="36"/>
  <c r="AB30" i="36"/>
  <c r="U33" i="35"/>
  <c r="F29" i="35"/>
  <c r="H29" i="35"/>
  <c r="AB29" i="35"/>
  <c r="H33" i="37"/>
  <c r="F33" i="37"/>
  <c r="AA33" i="37"/>
  <c r="U34" i="37"/>
  <c r="S34" i="37"/>
  <c r="AA34" i="37"/>
  <c r="J43" i="34"/>
  <c r="AC43" i="34" s="1"/>
  <c r="AB42" i="34"/>
  <c r="J40" i="34"/>
  <c r="F114" i="34"/>
  <c r="G114" i="34"/>
  <c r="H114" i="34" s="1"/>
  <c r="I114" i="34" s="1"/>
  <c r="J114" i="34" s="1"/>
  <c r="K114" i="34" s="1"/>
  <c r="L114" i="34" s="1"/>
  <c r="M114" i="34" s="1"/>
  <c r="H38" i="34"/>
  <c r="AB38" i="34"/>
  <c r="J36" i="34"/>
  <c r="W36" i="34" s="1"/>
  <c r="H37" i="34"/>
  <c r="U37" i="34" s="1"/>
  <c r="H25" i="34"/>
  <c r="AB25" i="34" s="1"/>
  <c r="J25" i="34"/>
  <c r="AC25" i="34"/>
  <c r="AB23" i="34"/>
  <c r="F23" i="34"/>
  <c r="AA23" i="34"/>
  <c r="J19" i="34"/>
  <c r="AC19" i="34" s="1"/>
  <c r="F17" i="34"/>
  <c r="AA17" i="34"/>
  <c r="J17" i="34"/>
  <c r="AB17" i="34"/>
  <c r="AA15" i="34"/>
  <c r="S15" i="34"/>
  <c r="S41" i="33"/>
  <c r="G113" i="33"/>
  <c r="H113" i="33"/>
  <c r="I113" i="33"/>
  <c r="J113" i="33" s="1"/>
  <c r="K113" i="33" s="1"/>
  <c r="L113" i="33" s="1"/>
  <c r="M113" i="33" s="1"/>
  <c r="H37" i="33"/>
  <c r="AB37" i="33"/>
  <c r="H15" i="33"/>
  <c r="AB15" i="33"/>
  <c r="H11" i="33"/>
  <c r="AB11" i="33"/>
  <c r="F28" i="40"/>
  <c r="AA28" i="40"/>
  <c r="AA42" i="34"/>
  <c r="AC38" i="34"/>
  <c r="AA38" i="34"/>
  <c r="J37" i="34"/>
  <c r="J11" i="33"/>
  <c r="W11" i="33" s="1"/>
  <c r="S28" i="34"/>
  <c r="U23" i="40"/>
  <c r="K123" i="21"/>
  <c r="L123" i="21" s="1"/>
  <c r="M123" i="21" s="1"/>
  <c r="J42" i="21"/>
  <c r="AC42" i="21"/>
  <c r="H42" i="21"/>
  <c r="U42" i="21"/>
  <c r="J44" i="34"/>
  <c r="F44" i="34"/>
  <c r="AA44" i="34" s="1"/>
  <c r="J10" i="35"/>
  <c r="W10" i="35" s="1"/>
  <c r="F14" i="21"/>
  <c r="H28" i="21"/>
  <c r="AB28" i="21"/>
  <c r="AA28" i="21"/>
  <c r="J28" i="21"/>
  <c r="AC28" i="21" s="1"/>
  <c r="W28" i="21"/>
  <c r="H30" i="21"/>
  <c r="U30" i="21"/>
  <c r="F30" i="21"/>
  <c r="S30" i="21"/>
  <c r="J30" i="21"/>
  <c r="AC30" i="21"/>
  <c r="J44" i="21"/>
  <c r="AC44" i="21"/>
  <c r="U44" i="21"/>
  <c r="F44" i="21"/>
  <c r="AA44" i="21"/>
  <c r="J46" i="21"/>
  <c r="F119" i="21"/>
  <c r="G119" i="21" s="1"/>
  <c r="H119" i="21" s="1"/>
  <c r="I119" i="21" s="1"/>
  <c r="J119" i="21" s="1"/>
  <c r="K119" i="21" s="1"/>
  <c r="L119" i="21" s="1"/>
  <c r="M119" i="21" s="1"/>
  <c r="H26" i="33"/>
  <c r="F33" i="35"/>
  <c r="S33" i="35" s="1"/>
  <c r="J33" i="35"/>
  <c r="AC33" i="35"/>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J31" i="21"/>
  <c r="AC31" i="21"/>
  <c r="F31" i="21"/>
  <c r="S31" i="21"/>
  <c r="F45" i="21"/>
  <c r="AA45" i="21"/>
  <c r="AA27" i="33"/>
  <c r="J13" i="33"/>
  <c r="H13" i="33"/>
  <c r="AB13" i="33" s="1"/>
  <c r="F13" i="33"/>
  <c r="AA13" i="33" s="1"/>
  <c r="S13" i="33"/>
  <c r="J29" i="33"/>
  <c r="H29" i="33"/>
  <c r="U29" i="33"/>
  <c r="F29" i="33"/>
  <c r="J31" i="33"/>
  <c r="W31" i="33"/>
  <c r="H31" i="33"/>
  <c r="AB31" i="33" s="1"/>
  <c r="H45" i="33"/>
  <c r="J45" i="33"/>
  <c r="W45" i="33" s="1"/>
  <c r="F45" i="33"/>
  <c r="S45" i="33" s="1"/>
  <c r="AA45" i="33"/>
  <c r="J14" i="34"/>
  <c r="W14" i="34" s="1"/>
  <c r="F14" i="34"/>
  <c r="S14" i="34"/>
  <c r="H14" i="34"/>
  <c r="AB14" i="34" s="1"/>
  <c r="F30" i="34"/>
  <c r="S30" i="34"/>
  <c r="J30" i="34"/>
  <c r="W30" i="34" s="1"/>
  <c r="H32" i="34"/>
  <c r="U32" i="34" s="1"/>
  <c r="F32" i="34"/>
  <c r="J32" i="34"/>
  <c r="W32" i="34" s="1"/>
  <c r="H46" i="34"/>
  <c r="AB46" i="34" s="1"/>
  <c r="U46" i="34"/>
  <c r="F46" i="34"/>
  <c r="H11" i="35"/>
  <c r="AB11" i="35" s="1"/>
  <c r="U11" i="35"/>
  <c r="J11" i="35"/>
  <c r="F11" i="35"/>
  <c r="S11" i="35"/>
  <c r="J26" i="36"/>
  <c r="W26" i="36" s="1"/>
  <c r="H28" i="36"/>
  <c r="U28" i="36" s="1"/>
  <c r="H32" i="36"/>
  <c r="AB32" i="36" s="1"/>
  <c r="J32" i="36"/>
  <c r="W32" i="36"/>
  <c r="J11" i="36"/>
  <c r="AC11" i="36" s="1"/>
  <c r="H11" i="36"/>
  <c r="AB11" i="36" s="1"/>
  <c r="U11" i="36"/>
  <c r="F11" i="36"/>
  <c r="AA11" i="36" s="1"/>
  <c r="H13" i="36"/>
  <c r="AB13" i="36"/>
  <c r="J13" i="36"/>
  <c r="AC13" i="36" s="1"/>
  <c r="F13" i="36"/>
  <c r="S13" i="36"/>
  <c r="E89" i="37"/>
  <c r="F89" i="37"/>
  <c r="G89" i="37" s="1"/>
  <c r="H89" i="37"/>
  <c r="I89" i="37" s="1"/>
  <c r="J89" i="37" s="1"/>
  <c r="K89" i="37" s="1"/>
  <c r="L89" i="37" s="1"/>
  <c r="M89" i="37" s="1"/>
  <c r="J29" i="37"/>
  <c r="W29" i="37" s="1"/>
  <c r="F29" i="37"/>
  <c r="S29" i="37"/>
  <c r="F105" i="37"/>
  <c r="G105" i="37" s="1"/>
  <c r="H36" i="37"/>
  <c r="AB36" i="37"/>
  <c r="F107" i="37"/>
  <c r="J37" i="37"/>
  <c r="H37" i="37"/>
  <c r="U37" i="37"/>
  <c r="H40" i="37"/>
  <c r="U40" i="37" s="1"/>
  <c r="J40" i="37"/>
  <c r="F40" i="37"/>
  <c r="AA40" i="37" s="1"/>
  <c r="AC12" i="40"/>
  <c r="W12" i="40"/>
  <c r="H14" i="33"/>
  <c r="U14" i="33" s="1"/>
  <c r="F14" i="33"/>
  <c r="AA14" i="33" s="1"/>
  <c r="S14" i="33"/>
  <c r="J14" i="33"/>
  <c r="AC14" i="33" s="1"/>
  <c r="H30" i="33"/>
  <c r="AB30" i="33"/>
  <c r="F30" i="33"/>
  <c r="J30" i="33"/>
  <c r="W30" i="33" s="1"/>
  <c r="H44" i="33"/>
  <c r="J44" i="33"/>
  <c r="AC44" i="33"/>
  <c r="F44" i="33"/>
  <c r="J46" i="33"/>
  <c r="AC46" i="33"/>
  <c r="F46" i="33"/>
  <c r="AA46" i="33" s="1"/>
  <c r="H46" i="33"/>
  <c r="H13" i="34"/>
  <c r="J13" i="34"/>
  <c r="W13" i="34"/>
  <c r="F13" i="34"/>
  <c r="AA13" i="34" s="1"/>
  <c r="J29" i="34"/>
  <c r="F29" i="34"/>
  <c r="S29" i="34"/>
  <c r="H29" i="34"/>
  <c r="AB29" i="34"/>
  <c r="J31" i="34"/>
  <c r="W31" i="34" s="1"/>
  <c r="AC31" i="34"/>
  <c r="H31" i="34"/>
  <c r="AB31" i="34"/>
  <c r="F31" i="34"/>
  <c r="S31" i="34"/>
  <c r="H45" i="34"/>
  <c r="U45" i="34"/>
  <c r="J45" i="34"/>
  <c r="W45" i="34"/>
  <c r="F45" i="34"/>
  <c r="S45" i="34"/>
  <c r="H47" i="34"/>
  <c r="U47" i="34"/>
  <c r="F47" i="34"/>
  <c r="S47" i="34"/>
  <c r="J47" i="34"/>
  <c r="W47" i="34" s="1"/>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AB28" i="37" s="1"/>
  <c r="U28" i="37"/>
  <c r="H38" i="37"/>
  <c r="AB38" i="37"/>
  <c r="J38" i="37"/>
  <c r="AC38" i="37"/>
  <c r="F38" i="37"/>
  <c r="S38" i="37"/>
  <c r="F43" i="39"/>
  <c r="AA43" i="39"/>
  <c r="H43" i="39"/>
  <c r="J14" i="39"/>
  <c r="W14" i="39" s="1"/>
  <c r="AC14" i="39"/>
  <c r="F14" i="39"/>
  <c r="S14" i="39" s="1"/>
  <c r="H14" i="39"/>
  <c r="AB14" i="39"/>
  <c r="F12" i="40"/>
  <c r="S12" i="40"/>
  <c r="H12" i="40"/>
  <c r="AB12" i="40"/>
  <c r="H30" i="40"/>
  <c r="AB30" i="40"/>
  <c r="F33" i="40"/>
  <c r="AA33" i="40"/>
  <c r="H33" i="40"/>
  <c r="AB33" i="40" s="1"/>
  <c r="U33" i="40"/>
  <c r="J35" i="40"/>
  <c r="AC35" i="40"/>
  <c r="J37" i="40"/>
  <c r="AC37" i="40"/>
  <c r="H13" i="40"/>
  <c r="U13" i="40"/>
  <c r="J13" i="40"/>
  <c r="W13" i="40"/>
  <c r="F13" i="40"/>
  <c r="AA13" i="40"/>
  <c r="F14" i="37"/>
  <c r="AA14" i="37" s="1"/>
  <c r="S14" i="37"/>
  <c r="AA27" i="37"/>
  <c r="F13" i="39"/>
  <c r="J13" i="39"/>
  <c r="W13" i="39" s="1"/>
  <c r="H13" i="39"/>
  <c r="U13" i="39" s="1"/>
  <c r="H14" i="40"/>
  <c r="AB14" i="40"/>
  <c r="J14" i="40"/>
  <c r="W14" i="40"/>
  <c r="F14" i="40"/>
  <c r="AA14" i="40"/>
  <c r="J14" i="37"/>
  <c r="AC14" i="37"/>
  <c r="J27" i="37"/>
  <c r="AC27" i="37"/>
  <c r="AA13" i="35"/>
  <c r="U31" i="34"/>
  <c r="J36" i="37"/>
  <c r="AC36" i="37"/>
  <c r="J10" i="36"/>
  <c r="AC10" i="36"/>
  <c r="AB30" i="21"/>
  <c r="W13" i="36"/>
  <c r="S11" i="36"/>
  <c r="W11" i="36"/>
  <c r="AC30" i="34"/>
  <c r="AA14" i="34"/>
  <c r="U31" i="33"/>
  <c r="U13" i="33"/>
  <c r="S44" i="34"/>
  <c r="BA585" i="3"/>
  <c r="F17" i="21"/>
  <c r="AA17" i="21" s="1"/>
  <c r="H17" i="21"/>
  <c r="AB17" i="21"/>
  <c r="F15" i="21"/>
  <c r="S15" i="21" s="1"/>
  <c r="J41" i="39"/>
  <c r="W41" i="39"/>
  <c r="AC45" i="39"/>
  <c r="W36" i="39"/>
  <c r="W35" i="39"/>
  <c r="U36" i="39"/>
  <c r="G544" i="3"/>
  <c r="G540" i="3"/>
  <c r="G536" i="3"/>
  <c r="G535" i="3"/>
  <c r="G532" i="3"/>
  <c r="G531" i="3"/>
  <c r="G528" i="3"/>
  <c r="G527" i="3"/>
  <c r="G523" i="3"/>
  <c r="G518" i="3"/>
  <c r="G514" i="3"/>
  <c r="G510" i="3"/>
  <c r="G508" i="3"/>
  <c r="G504" i="3"/>
  <c r="G500" i="3"/>
  <c r="G496" i="3"/>
  <c r="G584" i="3"/>
  <c r="G580" i="3"/>
  <c r="G576" i="3"/>
  <c r="G568" i="3"/>
  <c r="G564" i="3"/>
  <c r="G560" i="3"/>
  <c r="G554" i="3"/>
  <c r="G550" i="3"/>
  <c r="BL584" i="3"/>
  <c r="AZ584" i="3" s="1"/>
  <c r="BL580" i="3"/>
  <c r="BL564" i="3"/>
  <c r="BL560" i="3"/>
  <c r="BL546" i="3"/>
  <c r="AZ546" i="3" s="1"/>
  <c r="BL542" i="3"/>
  <c r="BL538" i="3"/>
  <c r="BL534" i="3"/>
  <c r="BL530" i="3"/>
  <c r="BL526" i="3"/>
  <c r="AZ526" i="3" s="1"/>
  <c r="BL522" i="3"/>
  <c r="BL516" i="3"/>
  <c r="BL512" i="3"/>
  <c r="AZ512" i="3" s="1"/>
  <c r="BL506" i="3"/>
  <c r="BL502" i="3"/>
  <c r="BL498" i="3"/>
  <c r="BL494" i="3"/>
  <c r="BL582" i="3"/>
  <c r="BL574" i="3"/>
  <c r="BL556" i="3"/>
  <c r="AZ556" i="3" s="1"/>
  <c r="BL544" i="3"/>
  <c r="BL540" i="3"/>
  <c r="BL536" i="3"/>
  <c r="AZ536" i="3" s="1"/>
  <c r="G533" i="3"/>
  <c r="BL532" i="3"/>
  <c r="G529" i="3"/>
  <c r="BL528" i="3"/>
  <c r="AZ528" i="3" s="1"/>
  <c r="G525" i="3"/>
  <c r="BL524" i="3"/>
  <c r="AZ524" i="3" s="1"/>
  <c r="BL518" i="3"/>
  <c r="BL514" i="3"/>
  <c r="AZ514" i="3" s="1"/>
  <c r="BL510" i="3"/>
  <c r="BL504" i="3"/>
  <c r="BL500" i="3"/>
  <c r="BL496" i="3"/>
  <c r="AZ496" i="3" s="1"/>
  <c r="G493" i="3"/>
  <c r="BA584" i="3"/>
  <c r="BA580" i="3"/>
  <c r="AZ580" i="3" s="1"/>
  <c r="BA576" i="3"/>
  <c r="BA564" i="3"/>
  <c r="BA560" i="3"/>
  <c r="AZ560" i="3" s="1"/>
  <c r="BA558" i="3"/>
  <c r="AZ558" i="3" s="1"/>
  <c r="BA556" i="3"/>
  <c r="BA552" i="3"/>
  <c r="AZ552" i="3" s="1"/>
  <c r="BA548" i="3"/>
  <c r="BA546" i="3"/>
  <c r="BA544" i="3"/>
  <c r="AZ544" i="3" s="1"/>
  <c r="BA542" i="3"/>
  <c r="BA540" i="3"/>
  <c r="AZ540" i="3"/>
  <c r="BA538" i="3"/>
  <c r="AZ538" i="3" s="1"/>
  <c r="BA536" i="3"/>
  <c r="BA534" i="3"/>
  <c r="AZ534" i="3" s="1"/>
  <c r="BA532" i="3"/>
  <c r="AZ532" i="3"/>
  <c r="BA530" i="3"/>
  <c r="BA528" i="3"/>
  <c r="BA526" i="3"/>
  <c r="BA524" i="3"/>
  <c r="BA522" i="3"/>
  <c r="BA520" i="3"/>
  <c r="AZ520" i="3" s="1"/>
  <c r="BA518" i="3"/>
  <c r="AZ518" i="3"/>
  <c r="BA516" i="3"/>
  <c r="AZ516" i="3"/>
  <c r="BA514" i="3"/>
  <c r="BA512" i="3"/>
  <c r="BA510" i="3"/>
  <c r="AZ510" i="3" s="1"/>
  <c r="BA508" i="3"/>
  <c r="AZ508" i="3" s="1"/>
  <c r="BA506" i="3"/>
  <c r="BA504" i="3"/>
  <c r="AZ504" i="3" s="1"/>
  <c r="BA502" i="3"/>
  <c r="AZ502" i="3" s="1"/>
  <c r="BA500" i="3"/>
  <c r="AZ500" i="3" s="1"/>
  <c r="BA498" i="3"/>
  <c r="BA496" i="3"/>
  <c r="BA494" i="3"/>
  <c r="BA587" i="3"/>
  <c r="AZ587" i="3" s="1"/>
  <c r="BA583" i="3"/>
  <c r="BA581" i="3"/>
  <c r="BA577" i="3"/>
  <c r="AZ577" i="3" s="1"/>
  <c r="BA575" i="3"/>
  <c r="BA567" i="3"/>
  <c r="BA561" i="3"/>
  <c r="BA559" i="3"/>
  <c r="BA555" i="3"/>
  <c r="AZ555" i="3" s="1"/>
  <c r="BA547" i="3"/>
  <c r="BA545" i="3"/>
  <c r="BA543" i="3"/>
  <c r="BA541" i="3"/>
  <c r="BA539" i="3"/>
  <c r="BA537" i="3"/>
  <c r="AZ537" i="3" s="1"/>
  <c r="BA535" i="3"/>
  <c r="BA533" i="3"/>
  <c r="BA531" i="3"/>
  <c r="BA529" i="3"/>
  <c r="BA527" i="3"/>
  <c r="BA525" i="3"/>
  <c r="BA523" i="3"/>
  <c r="BA519" i="3"/>
  <c r="AZ519" i="3" s="1"/>
  <c r="BA517" i="3"/>
  <c r="BA515" i="3"/>
  <c r="BA513" i="3"/>
  <c r="BA511" i="3"/>
  <c r="BA507" i="3"/>
  <c r="BA505" i="3"/>
  <c r="BA503" i="3"/>
  <c r="BA501" i="3"/>
  <c r="BA499" i="3"/>
  <c r="BA497" i="3"/>
  <c r="BA495" i="3"/>
  <c r="BA493" i="3"/>
  <c r="G583" i="3"/>
  <c r="G581" i="3"/>
  <c r="G579" i="3"/>
  <c r="G575" i="3"/>
  <c r="G573" i="3"/>
  <c r="G571" i="3"/>
  <c r="G569" i="3"/>
  <c r="G565" i="3"/>
  <c r="G561" i="3"/>
  <c r="BL558" i="3"/>
  <c r="BA557" i="3"/>
  <c r="AC557" i="3"/>
  <c r="G557" i="3"/>
  <c r="BQ557" i="3"/>
  <c r="BL557" i="3" s="1"/>
  <c r="BQ583" i="3"/>
  <c r="BL583" i="3"/>
  <c r="AZ583" i="3"/>
  <c r="BQ581" i="3"/>
  <c r="BQ579" i="3"/>
  <c r="BL579" i="3"/>
  <c r="BQ577" i="3"/>
  <c r="BL577" i="3"/>
  <c r="BQ575" i="3"/>
  <c r="BQ573" i="3"/>
  <c r="BQ571" i="3"/>
  <c r="BQ569" i="3"/>
  <c r="BL569" i="3"/>
  <c r="BQ567" i="3"/>
  <c r="BQ565" i="3"/>
  <c r="BQ563" i="3"/>
  <c r="BQ561" i="3"/>
  <c r="BL561" i="3" s="1"/>
  <c r="BQ559" i="3"/>
  <c r="BL559" i="3"/>
  <c r="G559" i="3"/>
  <c r="G555" i="3"/>
  <c r="G553" i="3"/>
  <c r="G547" i="3"/>
  <c r="G545" i="3"/>
  <c r="G543" i="3"/>
  <c r="G541" i="3"/>
  <c r="G539" i="3"/>
  <c r="G537" i="3"/>
  <c r="BQ555" i="3"/>
  <c r="BQ553" i="3"/>
  <c r="BL553" i="3"/>
  <c r="BQ551" i="3"/>
  <c r="BQ549" i="3"/>
  <c r="BQ547" i="3"/>
  <c r="BL547" i="3"/>
  <c r="AZ547" i="3"/>
  <c r="BQ545" i="3"/>
  <c r="BL545" i="3" s="1"/>
  <c r="AZ545" i="3"/>
  <c r="BQ543" i="3"/>
  <c r="BL543" i="3"/>
  <c r="AZ543" i="3" s="1"/>
  <c r="BQ541" i="3"/>
  <c r="BL541" i="3"/>
  <c r="AZ541" i="3" s="1"/>
  <c r="BQ539" i="3"/>
  <c r="BL539" i="3"/>
  <c r="AZ539" i="3"/>
  <c r="BQ537" i="3"/>
  <c r="BL537" i="3" s="1"/>
  <c r="BQ535" i="3"/>
  <c r="BL535" i="3"/>
  <c r="AZ535" i="3" s="1"/>
  <c r="BQ533" i="3"/>
  <c r="BL533" i="3"/>
  <c r="AZ533" i="3"/>
  <c r="BQ531" i="3"/>
  <c r="BL531" i="3"/>
  <c r="AZ531" i="3"/>
  <c r="BQ529" i="3"/>
  <c r="BL529" i="3" s="1"/>
  <c r="AZ529" i="3"/>
  <c r="BQ527" i="3"/>
  <c r="BL527" i="3"/>
  <c r="AZ527" i="3" s="1"/>
  <c r="BQ525" i="3"/>
  <c r="BL525" i="3"/>
  <c r="AZ525" i="3" s="1"/>
  <c r="BQ523" i="3"/>
  <c r="BL523" i="3"/>
  <c r="AZ523" i="3"/>
  <c r="BA521" i="3"/>
  <c r="AC521" i="3"/>
  <c r="G521" i="3"/>
  <c r="BQ521" i="3"/>
  <c r="BL521" i="3" s="1"/>
  <c r="BL520" i="3"/>
  <c r="G519" i="3"/>
  <c r="G517" i="3"/>
  <c r="G515" i="3"/>
  <c r="G513" i="3"/>
  <c r="G511" i="3"/>
  <c r="BQ519" i="3"/>
  <c r="BL519" i="3"/>
  <c r="BQ517" i="3"/>
  <c r="BL517" i="3" s="1"/>
  <c r="AZ517" i="3"/>
  <c r="BQ515" i="3"/>
  <c r="BL515" i="3"/>
  <c r="BQ513" i="3"/>
  <c r="BL513" i="3"/>
  <c r="BQ511" i="3"/>
  <c r="BL511" i="3"/>
  <c r="AZ511" i="3"/>
  <c r="BA509" i="3"/>
  <c r="AC509" i="3"/>
  <c r="BQ509" i="3"/>
  <c r="BL509" i="3"/>
  <c r="BL508" i="3"/>
  <c r="G507" i="3"/>
  <c r="G505" i="3"/>
  <c r="G503" i="3"/>
  <c r="G501" i="3"/>
  <c r="G499" i="3"/>
  <c r="G497" i="3"/>
  <c r="G495" i="3"/>
  <c r="BQ507" i="3"/>
  <c r="BL507" i="3"/>
  <c r="AZ507" i="3"/>
  <c r="BQ505" i="3"/>
  <c r="BL505" i="3" s="1"/>
  <c r="AZ505" i="3" s="1"/>
  <c r="BQ503" i="3"/>
  <c r="BL503" i="3"/>
  <c r="BQ501" i="3"/>
  <c r="BL501" i="3" s="1"/>
  <c r="AZ501" i="3" s="1"/>
  <c r="BQ499" i="3"/>
  <c r="BL499" i="3" s="1"/>
  <c r="BQ497" i="3"/>
  <c r="BL497" i="3"/>
  <c r="AZ497" i="3" s="1"/>
  <c r="BQ495" i="3"/>
  <c r="BL495" i="3" s="1"/>
  <c r="AZ495" i="3"/>
  <c r="BQ493" i="3"/>
  <c r="BL493" i="3" s="1"/>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AA25" i="21" s="1"/>
  <c r="S25" i="21"/>
  <c r="J25" i="21"/>
  <c r="AC25" i="21"/>
  <c r="E125" i="33"/>
  <c r="F125" i="33"/>
  <c r="G125" i="33" s="1"/>
  <c r="H43" i="33"/>
  <c r="AB43" i="33"/>
  <c r="H17" i="37"/>
  <c r="U1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F41" i="34"/>
  <c r="S41" i="34"/>
  <c r="H41" i="34"/>
  <c r="J41" i="34"/>
  <c r="AC41" i="34"/>
  <c r="F10" i="35"/>
  <c r="H24" i="35"/>
  <c r="AB24" i="35"/>
  <c r="H23" i="37"/>
  <c r="AB23" i="37"/>
  <c r="J32" i="37"/>
  <c r="AC32" i="37"/>
  <c r="F36" i="37"/>
  <c r="AA36" i="37"/>
  <c r="F37" i="37"/>
  <c r="AA37" i="37"/>
  <c r="F31" i="40"/>
  <c r="AA31" i="40"/>
  <c r="H31" i="40"/>
  <c r="U31" i="40"/>
  <c r="S32" i="40"/>
  <c r="H32" i="40"/>
  <c r="AB32" i="40"/>
  <c r="J36" i="40"/>
  <c r="W36" i="40"/>
  <c r="AA41" i="34"/>
  <c r="H19" i="37"/>
  <c r="AB19" i="37" s="1"/>
  <c r="H42" i="33"/>
  <c r="AB42" i="33"/>
  <c r="J43" i="33"/>
  <c r="AC43" i="33"/>
  <c r="U43" i="33"/>
  <c r="S28" i="31"/>
  <c r="S22" i="31" s="1"/>
  <c r="S27" i="31"/>
  <c r="S26" i="31"/>
  <c r="U14" i="40"/>
  <c r="AC32" i="36"/>
  <c r="U35" i="35"/>
  <c r="W23" i="35"/>
  <c r="W14" i="37"/>
  <c r="U39" i="37"/>
  <c r="AC8" i="37"/>
  <c r="U26" i="37"/>
  <c r="AB37" i="34"/>
  <c r="AC36" i="34"/>
  <c r="AC31" i="33"/>
  <c r="AC45" i="33"/>
  <c r="W44" i="33"/>
  <c r="U11" i="33"/>
  <c r="U19" i="21"/>
  <c r="W44" i="21"/>
  <c r="U26" i="21"/>
  <c r="U12" i="21"/>
  <c r="AB38" i="21"/>
  <c r="F43" i="33"/>
  <c r="AA43" i="33" s="1"/>
  <c r="W15" i="34"/>
  <c r="AC15" i="34"/>
  <c r="W16" i="35"/>
  <c r="G107" i="37"/>
  <c r="H107" i="37"/>
  <c r="I107" i="37" s="1"/>
  <c r="J107" i="37" s="1"/>
  <c r="K107" i="37" s="1"/>
  <c r="L107" i="37" s="1"/>
  <c r="M107" i="37" s="1"/>
  <c r="H37" i="21"/>
  <c r="U37" i="21"/>
  <c r="S42" i="21"/>
  <c r="H19" i="34"/>
  <c r="AB19" i="34" s="1"/>
  <c r="J9" i="37"/>
  <c r="W9" i="37" s="1"/>
  <c r="H9" i="37"/>
  <c r="AB9" i="37" s="1"/>
  <c r="F9" i="37"/>
  <c r="S9" i="37" s="1"/>
  <c r="J12" i="37"/>
  <c r="AC12" i="37" s="1"/>
  <c r="W12" i="37"/>
  <c r="H12" i="37"/>
  <c r="AB12" i="37" s="1"/>
  <c r="F12" i="37"/>
  <c r="S12" i="37"/>
  <c r="E71" i="37"/>
  <c r="F71" i="37" s="1"/>
  <c r="F15" i="37"/>
  <c r="AA15" i="37"/>
  <c r="E94" i="37"/>
  <c r="F94" i="37" s="1"/>
  <c r="F31" i="37"/>
  <c r="S31" i="37" s="1"/>
  <c r="F12" i="39"/>
  <c r="S12" i="39"/>
  <c r="J42" i="39"/>
  <c r="AC42" i="39" s="1"/>
  <c r="H21" i="40"/>
  <c r="AB21" i="40" s="1"/>
  <c r="G94" i="37"/>
  <c r="H94" i="37"/>
  <c r="I94" i="37" s="1"/>
  <c r="J94" i="37" s="1"/>
  <c r="K94" i="37" s="1"/>
  <c r="L94" i="37" s="1"/>
  <c r="M94" i="37" s="1"/>
  <c r="H31" i="37"/>
  <c r="U31" i="37"/>
  <c r="G71" i="37"/>
  <c r="J15" i="37"/>
  <c r="W15" i="37"/>
  <c r="U12" i="37"/>
  <c r="C12" i="43"/>
  <c r="H19" i="40"/>
  <c r="U19" i="40" s="1"/>
  <c r="F88" i="40"/>
  <c r="G88" i="40" s="1"/>
  <c r="F19" i="40"/>
  <c r="S19" i="40" s="1"/>
  <c r="S14" i="40"/>
  <c r="AC13" i="40"/>
  <c r="W23" i="39"/>
  <c r="AC43" i="39"/>
  <c r="W43" i="39"/>
  <c r="U45" i="39"/>
  <c r="AB45" i="39"/>
  <c r="G101" i="39"/>
  <c r="H25" i="39"/>
  <c r="AB25" i="39"/>
  <c r="J25" i="39"/>
  <c r="F25" i="39"/>
  <c r="F15" i="39"/>
  <c r="AA15" i="39"/>
  <c r="H15" i="39"/>
  <c r="U15" i="39" s="1"/>
  <c r="J15" i="39"/>
  <c r="H41" i="39"/>
  <c r="U40" i="39"/>
  <c r="S42" i="39"/>
  <c r="AA41" i="39"/>
  <c r="W9" i="39"/>
  <c r="W8" i="39"/>
  <c r="J19" i="40"/>
  <c r="AC19" i="40"/>
  <c r="J50" i="40"/>
  <c r="B54" i="72"/>
  <c r="H103" i="9"/>
  <c r="D8" i="53"/>
  <c r="C7" i="37"/>
  <c r="C7" i="34"/>
  <c r="C7" i="36"/>
  <c r="W35" i="40"/>
  <c r="A118" i="9"/>
  <c r="A4" i="52"/>
  <c r="B41" i="72" s="1"/>
  <c r="G4" i="4"/>
  <c r="I4" i="4"/>
  <c r="K5" i="4"/>
  <c r="B47" i="48" s="1"/>
  <c r="A2" i="9"/>
  <c r="F59" i="43"/>
  <c r="H62" i="43" s="1"/>
  <c r="BL549" i="3"/>
  <c r="AZ494" i="3"/>
  <c r="AZ522" i="3"/>
  <c r="AZ530" i="3"/>
  <c r="G546" i="3"/>
  <c r="G524" i="3"/>
  <c r="G303" i="3"/>
  <c r="BL304" i="3"/>
  <c r="G305" i="3"/>
  <c r="BL306" i="3"/>
  <c r="BA308" i="3"/>
  <c r="BA309" i="3"/>
  <c r="BL309" i="3"/>
  <c r="G310" i="3"/>
  <c r="BA311" i="3"/>
  <c r="G319" i="3"/>
  <c r="BL320" i="3"/>
  <c r="AZ320" i="3" s="1"/>
  <c r="G321" i="3"/>
  <c r="BL322" i="3"/>
  <c r="BA324" i="3"/>
  <c r="AZ324" i="3"/>
  <c r="BA325" i="3"/>
  <c r="BL325" i="3"/>
  <c r="G326" i="3"/>
  <c r="BA327" i="3"/>
  <c r="AZ327" i="3" s="1"/>
  <c r="G335" i="3"/>
  <c r="BL336" i="3"/>
  <c r="G337" i="3"/>
  <c r="BL338" i="3"/>
  <c r="BA340" i="3"/>
  <c r="BA341" i="3"/>
  <c r="BL341" i="3"/>
  <c r="BA343" i="3"/>
  <c r="AZ343" i="3" s="1"/>
  <c r="BA345" i="3"/>
  <c r="BL355" i="3"/>
  <c r="G356" i="3"/>
  <c r="BL357" i="3"/>
  <c r="BA359" i="3"/>
  <c r="BA360" i="3"/>
  <c r="BL360" i="3"/>
  <c r="G361" i="3"/>
  <c r="BA362" i="3"/>
  <c r="G370" i="3"/>
  <c r="BL371" i="3"/>
  <c r="G372" i="3"/>
  <c r="BL373" i="3"/>
  <c r="BA375" i="3"/>
  <c r="AZ375" i="3" s="1"/>
  <c r="BA376" i="3"/>
  <c r="BL376" i="3"/>
  <c r="AZ376" i="3" s="1"/>
  <c r="G377" i="3"/>
  <c r="BA378" i="3"/>
  <c r="BL378" i="3"/>
  <c r="AZ378" i="3" s="1"/>
  <c r="G379" i="3"/>
  <c r="BA380" i="3"/>
  <c r="G388" i="3"/>
  <c r="BL389" i="3"/>
  <c r="G390" i="3"/>
  <c r="BL391" i="3"/>
  <c r="BA393" i="3"/>
  <c r="AZ393" i="3"/>
  <c r="BA394" i="3"/>
  <c r="BL394" i="3"/>
  <c r="G113" i="3"/>
  <c r="BA115" i="3"/>
  <c r="AZ115" i="3"/>
  <c r="BL116" i="3"/>
  <c r="AZ116" i="3"/>
  <c r="G117" i="3"/>
  <c r="BA119" i="3"/>
  <c r="AZ119" i="3" s="1"/>
  <c r="BL120" i="3"/>
  <c r="AZ120" i="3" s="1"/>
  <c r="G121" i="3"/>
  <c r="BA123" i="3"/>
  <c r="AZ123" i="3" s="1"/>
  <c r="BL124" i="3"/>
  <c r="AZ124" i="3"/>
  <c r="G125" i="3"/>
  <c r="BA127" i="3"/>
  <c r="BL128" i="3"/>
  <c r="AZ128" i="3" s="1"/>
  <c r="G129" i="3"/>
  <c r="BA131" i="3"/>
  <c r="AZ131" i="3"/>
  <c r="BL132" i="3"/>
  <c r="AZ132" i="3" s="1"/>
  <c r="G133" i="3"/>
  <c r="BA135" i="3"/>
  <c r="AZ135" i="3"/>
  <c r="BL136" i="3"/>
  <c r="G137" i="3"/>
  <c r="BA139" i="3"/>
  <c r="AZ139" i="3"/>
  <c r="BL140" i="3"/>
  <c r="AZ140" i="3" s="1"/>
  <c r="G141" i="3"/>
  <c r="BA143" i="3"/>
  <c r="AZ143" i="3"/>
  <c r="BL144" i="3"/>
  <c r="G145" i="3"/>
  <c r="BA147" i="3"/>
  <c r="AZ147" i="3"/>
  <c r="BL148" i="3"/>
  <c r="AZ148" i="3"/>
  <c r="G149" i="3"/>
  <c r="BA151" i="3"/>
  <c r="AZ151" i="3" s="1"/>
  <c r="BL152" i="3"/>
  <c r="G153" i="3"/>
  <c r="BA155" i="3"/>
  <c r="AZ155" i="3" s="1"/>
  <c r="BL156" i="3"/>
  <c r="G157" i="3"/>
  <c r="BA159" i="3"/>
  <c r="AZ159" i="3"/>
  <c r="BL160" i="3"/>
  <c r="AZ160" i="3" s="1"/>
  <c r="G161" i="3"/>
  <c r="BA163" i="3"/>
  <c r="BL164" i="3"/>
  <c r="AZ164" i="3"/>
  <c r="G165" i="3"/>
  <c r="BA167" i="3"/>
  <c r="BL168" i="3"/>
  <c r="G169" i="3"/>
  <c r="BA171" i="3"/>
  <c r="AZ171" i="3" s="1"/>
  <c r="BL172" i="3"/>
  <c r="AZ172" i="3" s="1"/>
  <c r="G173" i="3"/>
  <c r="BA175" i="3"/>
  <c r="BL176" i="3"/>
  <c r="G177" i="3"/>
  <c r="BA179" i="3"/>
  <c r="AZ179" i="3" s="1"/>
  <c r="BL180" i="3"/>
  <c r="G181" i="3"/>
  <c r="BA183" i="3"/>
  <c r="AZ183" i="3" s="1"/>
  <c r="BL184" i="3"/>
  <c r="AZ184" i="3" s="1"/>
  <c r="G185" i="3"/>
  <c r="BA187" i="3"/>
  <c r="BL188" i="3"/>
  <c r="AZ188" i="3"/>
  <c r="G189" i="3"/>
  <c r="BA191" i="3"/>
  <c r="AZ191" i="3"/>
  <c r="BL192" i="3"/>
  <c r="AZ192" i="3" s="1"/>
  <c r="G193" i="3"/>
  <c r="BA195" i="3"/>
  <c r="AZ195" i="3"/>
  <c r="BL196" i="3"/>
  <c r="AZ196" i="3"/>
  <c r="G197" i="3"/>
  <c r="BA199" i="3"/>
  <c r="AZ199" i="3"/>
  <c r="BL200" i="3"/>
  <c r="G201" i="3"/>
  <c r="BA203" i="3"/>
  <c r="AZ203" i="3"/>
  <c r="BL204" i="3"/>
  <c r="AZ204" i="3" s="1"/>
  <c r="AZ136" i="3"/>
  <c r="AZ144" i="3"/>
  <c r="AZ152" i="3"/>
  <c r="AZ168" i="3"/>
  <c r="AZ176" i="3"/>
  <c r="G534" i="3"/>
  <c r="G530" i="3"/>
  <c r="G522" i="3"/>
  <c r="G516" i="3"/>
  <c r="G512" i="3"/>
  <c r="G506" i="3"/>
  <c r="G498" i="3"/>
  <c r="G494" i="3"/>
  <c r="BA304" i="3"/>
  <c r="AZ304" i="3"/>
  <c r="BA305" i="3"/>
  <c r="AZ305" i="3" s="1"/>
  <c r="BL305" i="3"/>
  <c r="G306" i="3"/>
  <c r="G309" i="3"/>
  <c r="BL310" i="3"/>
  <c r="BA312" i="3"/>
  <c r="AZ312" i="3"/>
  <c r="BA313" i="3"/>
  <c r="AZ313" i="3" s="1"/>
  <c r="BL313" i="3"/>
  <c r="G314" i="3"/>
  <c r="G317" i="3"/>
  <c r="BL318" i="3"/>
  <c r="BA320" i="3"/>
  <c r="BA321" i="3"/>
  <c r="BL321" i="3"/>
  <c r="G322" i="3"/>
  <c r="G325" i="3"/>
  <c r="BL326" i="3"/>
  <c r="BA328" i="3"/>
  <c r="AZ328" i="3" s="1"/>
  <c r="BA329" i="3"/>
  <c r="BL329" i="3"/>
  <c r="AZ329" i="3"/>
  <c r="G330" i="3"/>
  <c r="G333" i="3"/>
  <c r="BL334" i="3"/>
  <c r="BA336" i="3"/>
  <c r="AZ336" i="3" s="1"/>
  <c r="BA337" i="3"/>
  <c r="BL337" i="3"/>
  <c r="G338" i="3"/>
  <c r="G341" i="3"/>
  <c r="BA342" i="3"/>
  <c r="BL342" i="3"/>
  <c r="AZ342" i="3"/>
  <c r="BA344" i="3"/>
  <c r="BL344" i="3"/>
  <c r="AZ344" i="3"/>
  <c r="BA346" i="3"/>
  <c r="BA347" i="3"/>
  <c r="BL347" i="3"/>
  <c r="AZ347" i="3" s="1"/>
  <c r="G350" i="3"/>
  <c r="BA351" i="3"/>
  <c r="BL351" i="3"/>
  <c r="AZ351" i="3" s="1"/>
  <c r="G352" i="3"/>
  <c r="G354" i="3"/>
  <c r="BA355" i="3"/>
  <c r="AZ355" i="3"/>
  <c r="BA356" i="3"/>
  <c r="AZ356" i="3" s="1"/>
  <c r="BL356" i="3"/>
  <c r="G357" i="3"/>
  <c r="G360" i="3"/>
  <c r="BL361" i="3"/>
  <c r="BA363" i="3"/>
  <c r="AZ363" i="3"/>
  <c r="BA364" i="3"/>
  <c r="AZ364" i="3" s="1"/>
  <c r="BL364" i="3"/>
  <c r="G365" i="3"/>
  <c r="G368" i="3"/>
  <c r="BL369" i="3"/>
  <c r="AZ369" i="3" s="1"/>
  <c r="BA371" i="3"/>
  <c r="AZ371" i="3" s="1"/>
  <c r="BA372" i="3"/>
  <c r="BL372" i="3"/>
  <c r="AZ372" i="3" s="1"/>
  <c r="G373" i="3"/>
  <c r="G376" i="3"/>
  <c r="BL377" i="3"/>
  <c r="BL379" i="3"/>
  <c r="BA381" i="3"/>
  <c r="AZ381" i="3"/>
  <c r="BA382" i="3"/>
  <c r="BL382" i="3"/>
  <c r="G383" i="3"/>
  <c r="G386" i="3"/>
  <c r="BL387" i="3"/>
  <c r="BA389" i="3"/>
  <c r="AZ389" i="3" s="1"/>
  <c r="BA390" i="3"/>
  <c r="BL390" i="3"/>
  <c r="G391" i="3"/>
  <c r="G394" i="3"/>
  <c r="AZ138" i="3"/>
  <c r="AZ146" i="3"/>
  <c r="AZ150" i="3"/>
  <c r="AZ158" i="3"/>
  <c r="AZ162" i="3"/>
  <c r="AZ170" i="3"/>
  <c r="AZ174" i="3"/>
  <c r="AZ178" i="3"/>
  <c r="AZ182" i="3"/>
  <c r="AZ186" i="3"/>
  <c r="AZ202" i="3"/>
  <c r="AZ206" i="3"/>
  <c r="BL303" i="3"/>
  <c r="AZ303" i="3" s="1"/>
  <c r="G304" i="3"/>
  <c r="BA306" i="3"/>
  <c r="AZ306" i="3"/>
  <c r="BL307" i="3"/>
  <c r="AZ307" i="3" s="1"/>
  <c r="G308" i="3"/>
  <c r="BA310" i="3"/>
  <c r="AZ310" i="3"/>
  <c r="BL311" i="3"/>
  <c r="AZ311" i="3" s="1"/>
  <c r="G312" i="3"/>
  <c r="BA314" i="3"/>
  <c r="AZ314" i="3"/>
  <c r="BL315" i="3"/>
  <c r="G316" i="3"/>
  <c r="BA318" i="3"/>
  <c r="AZ318" i="3" s="1"/>
  <c r="BL319" i="3"/>
  <c r="G320" i="3"/>
  <c r="BA322" i="3"/>
  <c r="AZ322" i="3" s="1"/>
  <c r="BL323" i="3"/>
  <c r="AZ323" i="3" s="1"/>
  <c r="G324" i="3"/>
  <c r="BA326" i="3"/>
  <c r="AZ326" i="3"/>
  <c r="BL327" i="3"/>
  <c r="G328" i="3"/>
  <c r="BA330" i="3"/>
  <c r="AZ330" i="3" s="1"/>
  <c r="BL331" i="3"/>
  <c r="AZ331" i="3" s="1"/>
  <c r="G332" i="3"/>
  <c r="BA334" i="3"/>
  <c r="AZ334" i="3" s="1"/>
  <c r="BL335" i="3"/>
  <c r="G336" i="3"/>
  <c r="BA338" i="3"/>
  <c r="AZ338" i="3" s="1"/>
  <c r="BL339" i="3"/>
  <c r="AZ339" i="3"/>
  <c r="G340" i="3"/>
  <c r="BL343" i="3"/>
  <c r="G344" i="3"/>
  <c r="G348" i="3"/>
  <c r="G355" i="3"/>
  <c r="AZ214" i="3"/>
  <c r="AZ335" i="3"/>
  <c r="G342" i="3"/>
  <c r="BL345" i="3"/>
  <c r="AZ345" i="3" s="1"/>
  <c r="G346" i="3"/>
  <c r="AZ348" i="3"/>
  <c r="BL349" i="3"/>
  <c r="AZ349" i="3" s="1"/>
  <c r="BL352" i="3"/>
  <c r="AZ352" i="3" s="1"/>
  <c r="G353" i="3"/>
  <c r="BA357" i="3"/>
  <c r="BL358" i="3"/>
  <c r="AZ358" i="3"/>
  <c r="G359" i="3"/>
  <c r="BA361" i="3"/>
  <c r="AZ361" i="3"/>
  <c r="BL362" i="3"/>
  <c r="AZ362" i="3" s="1"/>
  <c r="G363" i="3"/>
  <c r="BA365" i="3"/>
  <c r="AZ365" i="3"/>
  <c r="BL366" i="3"/>
  <c r="G367" i="3"/>
  <c r="BA369" i="3"/>
  <c r="BL370" i="3"/>
  <c r="AZ370" i="3" s="1"/>
  <c r="G371" i="3"/>
  <c r="BA373" i="3"/>
  <c r="AZ373" i="3"/>
  <c r="BL374" i="3"/>
  <c r="G375" i="3"/>
  <c r="BA377" i="3"/>
  <c r="AZ377" i="3"/>
  <c r="AZ233" i="3"/>
  <c r="AZ237" i="3"/>
  <c r="AZ253" i="3"/>
  <c r="AZ257" i="3"/>
  <c r="AZ261" i="3"/>
  <c r="AZ265" i="3"/>
  <c r="AZ269" i="3"/>
  <c r="AZ273" i="3"/>
  <c r="BA379" i="3"/>
  <c r="AZ379" i="3"/>
  <c r="BL380" i="3"/>
  <c r="G381" i="3"/>
  <c r="BA383" i="3"/>
  <c r="BL384" i="3"/>
  <c r="G385" i="3"/>
  <c r="BA387" i="3"/>
  <c r="AZ387" i="3"/>
  <c r="BL388" i="3"/>
  <c r="G389" i="3"/>
  <c r="BA391" i="3"/>
  <c r="AZ391" i="3"/>
  <c r="BL392" i="3"/>
  <c r="AZ392" i="3" s="1"/>
  <c r="G393" i="3"/>
  <c r="AZ263" i="3"/>
  <c r="AZ275" i="3"/>
  <c r="AZ279" i="3"/>
  <c r="AZ283" i="3"/>
  <c r="AZ287" i="3"/>
  <c r="AZ291" i="3"/>
  <c r="AZ295" i="3"/>
  <c r="AZ299" i="3"/>
  <c r="AZ317" i="3"/>
  <c r="AZ325" i="3"/>
  <c r="AZ333" i="3"/>
  <c r="G548" i="3"/>
  <c r="G538" i="3"/>
  <c r="G520" i="3"/>
  <c r="G502" i="3"/>
  <c r="G17" i="3"/>
  <c r="AZ360" i="3"/>
  <c r="AZ380" i="3"/>
  <c r="AZ384" i="3"/>
  <c r="AZ388" i="3"/>
  <c r="AZ394" i="3"/>
  <c r="AZ499" i="3"/>
  <c r="G509" i="3"/>
  <c r="AZ390" i="3"/>
  <c r="AZ493" i="3"/>
  <c r="U36" i="40"/>
  <c r="F36" i="43"/>
  <c r="F81" i="43"/>
  <c r="H83" i="43"/>
  <c r="H113" i="43"/>
  <c r="F48" i="43"/>
  <c r="H52" i="43" s="1"/>
  <c r="F70" i="43"/>
  <c r="H75" i="43" s="1"/>
  <c r="H73" i="43"/>
  <c r="M11" i="43"/>
  <c r="D17" i="43"/>
  <c r="F39" i="43"/>
  <c r="I17" i="43"/>
  <c r="F35" i="43"/>
  <c r="J17" i="43"/>
  <c r="F6" i="1"/>
  <c r="U17" i="39"/>
  <c r="S14" i="35"/>
  <c r="U35" i="21"/>
  <c r="AC35" i="21"/>
  <c r="U10" i="21"/>
  <c r="G8" i="1"/>
  <c r="F48" i="9"/>
  <c r="O52" i="9" s="1"/>
  <c r="W44" i="34"/>
  <c r="AC44" i="34"/>
  <c r="S15" i="37"/>
  <c r="U13" i="37"/>
  <c r="U12" i="40"/>
  <c r="AA12" i="40"/>
  <c r="J37" i="33"/>
  <c r="W37" i="33"/>
  <c r="F106" i="33"/>
  <c r="G106" i="33" s="1"/>
  <c r="H106" i="33" s="1"/>
  <c r="I106" i="33" s="1"/>
  <c r="J106" i="33"/>
  <c r="K106" i="33" s="1"/>
  <c r="L106" i="33" s="1"/>
  <c r="M106" i="33" s="1"/>
  <c r="J34" i="33"/>
  <c r="F33" i="34"/>
  <c r="S33" i="34"/>
  <c r="W12" i="36"/>
  <c r="AC12" i="36"/>
  <c r="H20" i="36"/>
  <c r="U20" i="36"/>
  <c r="J20" i="36"/>
  <c r="J27" i="36"/>
  <c r="W27" i="36"/>
  <c r="AC33" i="40"/>
  <c r="F111" i="40"/>
  <c r="G111" i="40"/>
  <c r="H111" i="40" s="1"/>
  <c r="I111" i="40" s="1"/>
  <c r="J111" i="40" s="1"/>
  <c r="K111" i="40"/>
  <c r="L111" i="40" s="1"/>
  <c r="M111" i="40" s="1"/>
  <c r="H35" i="40"/>
  <c r="AB35" i="40"/>
  <c r="AC29" i="35"/>
  <c r="W29" i="35"/>
  <c r="H35" i="37"/>
  <c r="U35" i="37"/>
  <c r="AC14" i="35"/>
  <c r="H20" i="35"/>
  <c r="U20" i="35"/>
  <c r="F20" i="35"/>
  <c r="AA20" i="35" s="1"/>
  <c r="AB29" i="36"/>
  <c r="U29" i="36"/>
  <c r="H32" i="37"/>
  <c r="AB32" i="37"/>
  <c r="F96" i="37"/>
  <c r="G96" i="37" s="1"/>
  <c r="H96" i="37" s="1"/>
  <c r="H27" i="40"/>
  <c r="J27" i="40"/>
  <c r="AC27" i="40"/>
  <c r="F27" i="40"/>
  <c r="J30" i="40"/>
  <c r="AC30" i="40"/>
  <c r="F30" i="40"/>
  <c r="AA30" i="40" s="1"/>
  <c r="AC21" i="40"/>
  <c r="S31" i="39"/>
  <c r="S11" i="40"/>
  <c r="E98" i="40"/>
  <c r="F98" i="40"/>
  <c r="G98" i="40"/>
  <c r="H98" i="40"/>
  <c r="I98" i="40" s="1"/>
  <c r="J98" i="40" s="1"/>
  <c r="K98" i="40" s="1"/>
  <c r="L98" i="40"/>
  <c r="M98" i="40" s="1"/>
  <c r="F10" i="33"/>
  <c r="S10" i="33"/>
  <c r="F34" i="33"/>
  <c r="H34" i="33"/>
  <c r="U34" i="33"/>
  <c r="F35" i="33"/>
  <c r="F39" i="34"/>
  <c r="S39" i="34"/>
  <c r="J39" i="34"/>
  <c r="F40" i="34"/>
  <c r="S40" i="34"/>
  <c r="F43" i="34"/>
  <c r="AA43" i="34" s="1"/>
  <c r="H44" i="34"/>
  <c r="U44" i="34" s="1"/>
  <c r="AB44" i="34"/>
  <c r="AC38" i="39"/>
  <c r="F39" i="39"/>
  <c r="S39" i="39"/>
  <c r="J39" i="39"/>
  <c r="AC39" i="39"/>
  <c r="E97" i="39"/>
  <c r="F97" i="39"/>
  <c r="G97" i="39"/>
  <c r="AZ353" i="3"/>
  <c r="AZ354" i="3"/>
  <c r="AZ248" i="3"/>
  <c r="AZ251" i="3"/>
  <c r="AZ256" i="3"/>
  <c r="AZ259" i="3"/>
  <c r="AZ268" i="3"/>
  <c r="AZ271" i="3"/>
  <c r="AZ280" i="3"/>
  <c r="AZ288" i="3"/>
  <c r="AZ296" i="3"/>
  <c r="AZ114" i="3"/>
  <c r="AZ117" i="3"/>
  <c r="AZ130" i="3"/>
  <c r="AZ66" i="3"/>
  <c r="AZ69" i="3"/>
  <c r="AZ74" i="3"/>
  <c r="H50" i="43"/>
  <c r="I20" i="43"/>
  <c r="C20" i="43" s="1"/>
  <c r="F23" i="39"/>
  <c r="H27" i="36"/>
  <c r="AB27" i="36" s="1"/>
  <c r="U27" i="36"/>
  <c r="F27" i="36"/>
  <c r="AA27" i="36" s="1"/>
  <c r="H33" i="34"/>
  <c r="U33" i="34"/>
  <c r="F32" i="37"/>
  <c r="I96" i="37"/>
  <c r="J96" i="37" s="1"/>
  <c r="K96" i="37" s="1"/>
  <c r="L96" i="37" s="1"/>
  <c r="M96" i="37"/>
  <c r="F20" i="36"/>
  <c r="AA20" i="36"/>
  <c r="J33" i="34"/>
  <c r="AC33" i="34"/>
  <c r="H23" i="39"/>
  <c r="U23" i="39"/>
  <c r="H86" i="43"/>
  <c r="H82" i="43"/>
  <c r="H87" i="43"/>
  <c r="D93" i="9"/>
  <c r="AC26" i="33"/>
  <c r="W26" i="33"/>
  <c r="AB34" i="36"/>
  <c r="U34" i="36"/>
  <c r="AB33" i="36"/>
  <c r="U33" i="36"/>
  <c r="AC12" i="39"/>
  <c r="W12" i="39"/>
  <c r="AC39" i="40"/>
  <c r="W39" i="40"/>
  <c r="AZ401" i="3"/>
  <c r="AZ417" i="3"/>
  <c r="AZ428" i="3"/>
  <c r="W12" i="33"/>
  <c r="AC12" i="33"/>
  <c r="S32" i="36"/>
  <c r="AZ408" i="3"/>
  <c r="AZ437" i="3"/>
  <c r="AZ441" i="3"/>
  <c r="AZ473" i="3"/>
  <c r="AZ490" i="3"/>
  <c r="AA39" i="34"/>
  <c r="AZ266" i="3"/>
  <c r="U30" i="33"/>
  <c r="AC13" i="34"/>
  <c r="AA47" i="34"/>
  <c r="W28" i="37"/>
  <c r="S19" i="39"/>
  <c r="F12" i="33"/>
  <c r="S12" i="33" s="1"/>
  <c r="H12" i="39"/>
  <c r="AB12" i="39"/>
  <c r="F39" i="40"/>
  <c r="AZ224" i="3"/>
  <c r="AZ234" i="3"/>
  <c r="AZ254" i="3"/>
  <c r="AZ281" i="3"/>
  <c r="AZ286" i="3"/>
  <c r="AZ297" i="3"/>
  <c r="AZ165" i="3"/>
  <c r="AZ181" i="3"/>
  <c r="AZ189" i="3"/>
  <c r="AZ197" i="3"/>
  <c r="S12" i="1"/>
  <c r="T12" i="1" s="1"/>
  <c r="R12" i="1"/>
  <c r="B12" i="1"/>
  <c r="E12" i="1"/>
  <c r="D1" i="66"/>
  <c r="E10" i="66" s="1"/>
  <c r="AZ88" i="3"/>
  <c r="K12" i="1"/>
  <c r="M12" i="1" s="1"/>
  <c r="S13" i="1"/>
  <c r="AR13" i="1" s="1"/>
  <c r="R13" i="1"/>
  <c r="S11" i="1"/>
  <c r="AR11" i="1" s="1"/>
  <c r="R11" i="1"/>
  <c r="J51" i="67"/>
  <c r="C42" i="1"/>
  <c r="H100" i="43"/>
  <c r="C30" i="66"/>
  <c r="E26" i="66" s="1"/>
  <c r="B41" i="1"/>
  <c r="F53" i="9" s="1"/>
  <c r="J100" i="43"/>
  <c r="AB37" i="40"/>
  <c r="S35" i="40"/>
  <c r="U35" i="40"/>
  <c r="AC36" i="40"/>
  <c r="AA32" i="40"/>
  <c r="S17" i="40"/>
  <c r="S23" i="40"/>
  <c r="AC17" i="40"/>
  <c r="AC15" i="40"/>
  <c r="AA19" i="40"/>
  <c r="S28" i="40"/>
  <c r="U21" i="40"/>
  <c r="W42" i="39"/>
  <c r="W39" i="39"/>
  <c r="S43" i="39"/>
  <c r="U35" i="39"/>
  <c r="F32" i="39"/>
  <c r="AA32" i="39" s="1"/>
  <c r="F107" i="39"/>
  <c r="G107" i="39"/>
  <c r="U25" i="39"/>
  <c r="AB27" i="39"/>
  <c r="U31" i="39"/>
  <c r="J21" i="39"/>
  <c r="F21" i="39"/>
  <c r="AA21" i="39" s="1"/>
  <c r="G95" i="39"/>
  <c r="H21" i="39"/>
  <c r="U19" i="39"/>
  <c r="S17" i="39"/>
  <c r="S15" i="39"/>
  <c r="AB15" i="39"/>
  <c r="AA12" i="39"/>
  <c r="S9" i="39"/>
  <c r="U14" i="39"/>
  <c r="AC13" i="39"/>
  <c r="U12" i="39"/>
  <c r="S23" i="36"/>
  <c r="U13" i="36"/>
  <c r="AC27" i="36"/>
  <c r="U26" i="36"/>
  <c r="S33" i="36"/>
  <c r="S27" i="36"/>
  <c r="AA26" i="36"/>
  <c r="AA34" i="36"/>
  <c r="S29" i="36"/>
  <c r="AC26" i="36"/>
  <c r="AA22" i="36"/>
  <c r="W14" i="36"/>
  <c r="AB14" i="36"/>
  <c r="U22" i="36"/>
  <c r="S16" i="36"/>
  <c r="AA25" i="36"/>
  <c r="U24" i="36"/>
  <c r="U23" i="36"/>
  <c r="AB20" i="36"/>
  <c r="S14" i="36"/>
  <c r="U10" i="36"/>
  <c r="W10" i="36"/>
  <c r="AA25" i="35"/>
  <c r="S23" i="35"/>
  <c r="AB13" i="35"/>
  <c r="U29" i="35"/>
  <c r="U28" i="35"/>
  <c r="AB27" i="35"/>
  <c r="U32" i="35"/>
  <c r="AA33" i="35"/>
  <c r="AC30" i="35"/>
  <c r="S32" i="35"/>
  <c r="W32" i="35"/>
  <c r="S28" i="35"/>
  <c r="AB16" i="35"/>
  <c r="U22" i="35"/>
  <c r="S22" i="35"/>
  <c r="AC10" i="35"/>
  <c r="AA11" i="35"/>
  <c r="S8" i="35"/>
  <c r="AC9" i="35"/>
  <c r="W9" i="35"/>
  <c r="AC12" i="35"/>
  <c r="W13" i="35"/>
  <c r="F9" i="35"/>
  <c r="H9" i="35"/>
  <c r="F26" i="35"/>
  <c r="AA26" i="35"/>
  <c r="J26" i="35"/>
  <c r="H26" i="35"/>
  <c r="AB40" i="37"/>
  <c r="W27" i="37"/>
  <c r="S26" i="37"/>
  <c r="AC9" i="37"/>
  <c r="AC29" i="37"/>
  <c r="U29" i="37"/>
  <c r="AB31" i="37"/>
  <c r="W30" i="37"/>
  <c r="S36" i="37"/>
  <c r="AA38" i="37"/>
  <c r="U32" i="37"/>
  <c r="W38" i="37"/>
  <c r="AC35" i="37"/>
  <c r="S30" i="37"/>
  <c r="S37" i="37"/>
  <c r="AC15" i="37"/>
  <c r="J17" i="37"/>
  <c r="W17" i="37"/>
  <c r="G73" i="37"/>
  <c r="F17" i="37"/>
  <c r="AA17" i="37"/>
  <c r="AB17" i="37"/>
  <c r="F75" i="37"/>
  <c r="G75" i="37" s="1"/>
  <c r="F19" i="37"/>
  <c r="F79" i="37"/>
  <c r="F23" i="37"/>
  <c r="S23" i="37"/>
  <c r="U23" i="37"/>
  <c r="U15" i="37"/>
  <c r="AC13" i="37"/>
  <c r="U9" i="37"/>
  <c r="AA13" i="37"/>
  <c r="AA12" i="37"/>
  <c r="AA9" i="37"/>
  <c r="H10" i="37"/>
  <c r="H60" i="37"/>
  <c r="F63" i="37"/>
  <c r="F11" i="37"/>
  <c r="S11" i="37"/>
  <c r="W25" i="34"/>
  <c r="AB8" i="34"/>
  <c r="AA33" i="34"/>
  <c r="U43" i="34"/>
  <c r="W41" i="34"/>
  <c r="AC42" i="34"/>
  <c r="U39" i="34"/>
  <c r="AA45" i="34"/>
  <c r="W34" i="34"/>
  <c r="AA25" i="34"/>
  <c r="U28" i="34"/>
  <c r="S17" i="34"/>
  <c r="AA29" i="34"/>
  <c r="S23" i="34"/>
  <c r="U15" i="34"/>
  <c r="S10" i="34"/>
  <c r="S13" i="34"/>
  <c r="H10" i="34"/>
  <c r="F11" i="34"/>
  <c r="S11" i="34"/>
  <c r="W42" i="33"/>
  <c r="S27" i="33"/>
  <c r="S32" i="33"/>
  <c r="AB29" i="33"/>
  <c r="W38" i="33"/>
  <c r="H41" i="33"/>
  <c r="F121" i="33"/>
  <c r="G121" i="33"/>
  <c r="H121" i="33"/>
  <c r="I121" i="33" s="1"/>
  <c r="J121" i="33" s="1"/>
  <c r="K121" i="33" s="1"/>
  <c r="L121" i="33" s="1"/>
  <c r="M121" i="33" s="1"/>
  <c r="U42" i="33"/>
  <c r="S42" i="33"/>
  <c r="F36" i="33"/>
  <c r="G111" i="33"/>
  <c r="I108" i="33"/>
  <c r="J108" i="33" s="1"/>
  <c r="K108" i="33" s="1"/>
  <c r="L108" i="33" s="1"/>
  <c r="M108" i="33" s="1"/>
  <c r="J35" i="33"/>
  <c r="S37" i="33"/>
  <c r="AA37" i="33"/>
  <c r="S39" i="33"/>
  <c r="F101" i="33"/>
  <c r="G101" i="33"/>
  <c r="H101" i="33"/>
  <c r="I101" i="33"/>
  <c r="J101" i="33" s="1"/>
  <c r="K101" i="33" s="1"/>
  <c r="L101" i="33" s="1"/>
  <c r="M101" i="33"/>
  <c r="J32" i="33"/>
  <c r="S46" i="33"/>
  <c r="W43" i="33"/>
  <c r="S43" i="33"/>
  <c r="F91" i="33"/>
  <c r="H27" i="33"/>
  <c r="F87" i="33"/>
  <c r="H25" i="33"/>
  <c r="U25" i="33" s="1"/>
  <c r="F25" i="33"/>
  <c r="J23" i="33"/>
  <c r="H23" i="33"/>
  <c r="AB23" i="33" s="1"/>
  <c r="F81" i="33"/>
  <c r="F19" i="33"/>
  <c r="S19" i="33"/>
  <c r="W1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B8" i="21"/>
  <c r="S8" i="21"/>
  <c r="M3" i="43"/>
  <c r="M1" i="43"/>
  <c r="N8" i="43"/>
  <c r="D120" i="9"/>
  <c r="C18" i="9"/>
  <c r="D18" i="9" s="1"/>
  <c r="F34" i="67"/>
  <c r="F62" i="67"/>
  <c r="M20" i="67"/>
  <c r="F34" i="15"/>
  <c r="F62" i="15" s="1"/>
  <c r="J56" i="9"/>
  <c r="J57" i="9"/>
  <c r="A24" i="51"/>
  <c r="B18" i="72" s="1"/>
  <c r="U29" i="34"/>
  <c r="E1" i="73"/>
  <c r="G22" i="68"/>
  <c r="G22" i="11"/>
  <c r="C100" i="43"/>
  <c r="E11" i="43"/>
  <c r="E10" i="43"/>
  <c r="E9" i="43"/>
  <c r="E8" i="43"/>
  <c r="C7" i="43" s="1"/>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C7" i="39"/>
  <c r="C68" i="39" s="1"/>
  <c r="C7" i="35"/>
  <c r="C48" i="35" s="1"/>
  <c r="D48" i="35" s="1"/>
  <c r="E48" i="35" s="1"/>
  <c r="F48" i="35" s="1"/>
  <c r="G48" i="35" s="1"/>
  <c r="C7" i="33"/>
  <c r="C58" i="33" s="1"/>
  <c r="D58" i="33" s="1"/>
  <c r="E58" i="33" s="1"/>
  <c r="F58" i="33" s="1"/>
  <c r="G58" i="33" s="1"/>
  <c r="H58" i="33" s="1"/>
  <c r="I58" i="33" s="1"/>
  <c r="J58" i="33" s="1"/>
  <c r="K58" i="33" s="1"/>
  <c r="L58" i="33" s="1"/>
  <c r="M58" i="33" s="1"/>
  <c r="N58" i="33" s="1"/>
  <c r="O58" i="33" s="1"/>
  <c r="C7" i="21"/>
  <c r="C58" i="21"/>
  <c r="C7" i="40"/>
  <c r="C63" i="40" s="1"/>
  <c r="M47" i="9"/>
  <c r="G19" i="43"/>
  <c r="O19" i="43"/>
  <c r="T35" i="4"/>
  <c r="A19" i="51" s="1"/>
  <c r="B14" i="72" s="1"/>
  <c r="C46" i="36"/>
  <c r="D46" i="36" s="1"/>
  <c r="C59" i="34"/>
  <c r="D59" i="34"/>
  <c r="E59" i="34"/>
  <c r="F59" i="34" s="1"/>
  <c r="G59" i="34" s="1"/>
  <c r="H59" i="34" s="1"/>
  <c r="I59" i="34" s="1"/>
  <c r="J59" i="34" s="1"/>
  <c r="C52" i="37"/>
  <c r="D52" i="37" s="1"/>
  <c r="E52" i="37" s="1"/>
  <c r="F52" i="37" s="1"/>
  <c r="G52" i="37" s="1"/>
  <c r="H52" i="37" s="1"/>
  <c r="H66" i="43"/>
  <c r="H65" i="43"/>
  <c r="H64" i="43"/>
  <c r="H63" i="43"/>
  <c r="H55" i="43"/>
  <c r="H56" i="43"/>
  <c r="H72" i="43"/>
  <c r="L20" i="6"/>
  <c r="B6" i="1"/>
  <c r="E6" i="1"/>
  <c r="K11" i="1"/>
  <c r="M11" i="1" s="1"/>
  <c r="O11" i="1" s="1"/>
  <c r="P11" i="1" s="1"/>
  <c r="B9" i="1"/>
  <c r="E9" i="1"/>
  <c r="W23" i="40"/>
  <c r="U32" i="40"/>
  <c r="AB31" i="40"/>
  <c r="S37" i="40"/>
  <c r="AB28" i="40"/>
  <c r="W28" i="40"/>
  <c r="W34" i="40"/>
  <c r="W19" i="40"/>
  <c r="W27" i="40"/>
  <c r="W37" i="40"/>
  <c r="AC14" i="40"/>
  <c r="S13" i="40"/>
  <c r="S33" i="40"/>
  <c r="U11" i="40"/>
  <c r="S31" i="40"/>
  <c r="AB13" i="40"/>
  <c r="U15" i="40"/>
  <c r="AB17" i="40"/>
  <c r="U8" i="40"/>
  <c r="S8" i="40"/>
  <c r="AA39" i="39"/>
  <c r="AC41" i="39"/>
  <c r="U42" i="39"/>
  <c r="AB23" i="39"/>
  <c r="U41" i="39"/>
  <c r="AB41" i="39"/>
  <c r="W25" i="39"/>
  <c r="AC25" i="39"/>
  <c r="AB13" i="39"/>
  <c r="AA13" i="39"/>
  <c r="S13" i="39"/>
  <c r="AA14" i="39"/>
  <c r="U43" i="39"/>
  <c r="AB43" i="39"/>
  <c r="AA27" i="39"/>
  <c r="S27" i="39"/>
  <c r="W17" i="39"/>
  <c r="AC17" i="39"/>
  <c r="W31" i="39"/>
  <c r="AA45" i="39"/>
  <c r="AB39" i="39"/>
  <c r="S8" i="39"/>
  <c r="S20" i="36"/>
  <c r="AC25" i="36"/>
  <c r="S28" i="36"/>
  <c r="U32" i="36"/>
  <c r="W29" i="36"/>
  <c r="U25" i="36"/>
  <c r="AB28" i="36"/>
  <c r="AA13" i="36"/>
  <c r="W9" i="36"/>
  <c r="W22" i="36"/>
  <c r="W23" i="36"/>
  <c r="S9" i="36"/>
  <c r="AB20" i="35"/>
  <c r="AC25" i="35"/>
  <c r="U25"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U9" i="34"/>
  <c r="S46" i="34"/>
  <c r="AA46" i="34"/>
  <c r="AB32" i="34"/>
  <c r="U14" i="34"/>
  <c r="W43" i="34"/>
  <c r="AA11" i="34"/>
  <c r="W23" i="34"/>
  <c r="AC23" i="34"/>
  <c r="AC35" i="34"/>
  <c r="W35" i="34"/>
  <c r="U12" i="34"/>
  <c r="AB12" i="34"/>
  <c r="AC37" i="33"/>
  <c r="W46" i="33"/>
  <c r="U39" i="33"/>
  <c r="U38" i="33"/>
  <c r="S33" i="33"/>
  <c r="AB34" i="33"/>
  <c r="U44" i="33"/>
  <c r="AB44" i="33"/>
  <c r="S30" i="33"/>
  <c r="AA30" i="33"/>
  <c r="W14" i="33"/>
  <c r="AC30" i="33"/>
  <c r="S31" i="33"/>
  <c r="AA31" i="33"/>
  <c r="W13" i="33"/>
  <c r="AC13" i="33"/>
  <c r="U15" i="33"/>
  <c r="S11" i="33"/>
  <c r="U37" i="33"/>
  <c r="W9" i="33"/>
  <c r="W8" i="33"/>
  <c r="S44" i="21"/>
  <c r="AB42" i="21"/>
  <c r="U28" i="21"/>
  <c r="AA11" i="21"/>
  <c r="S45" i="21"/>
  <c r="I101" i="21"/>
  <c r="J101" i="21"/>
  <c r="K101" i="21" s="1"/>
  <c r="L101" i="21" s="1"/>
  <c r="M101" i="21" s="1"/>
  <c r="F33" i="21"/>
  <c r="J33" i="21"/>
  <c r="H33" i="21"/>
  <c r="AB33" i="21"/>
  <c r="F37" i="21"/>
  <c r="S37" i="21" s="1"/>
  <c r="AA26" i="21"/>
  <c r="U40" i="21"/>
  <c r="AB31" i="21"/>
  <c r="U31" i="21"/>
  <c r="AC15" i="21"/>
  <c r="U13" i="21"/>
  <c r="AB13" i="21"/>
  <c r="W8" i="21"/>
  <c r="S35" i="21"/>
  <c r="AB37" i="21"/>
  <c r="J37" i="21"/>
  <c r="W37" i="21"/>
  <c r="H15" i="21"/>
  <c r="U15" i="21"/>
  <c r="J17" i="21"/>
  <c r="AC17" i="21"/>
  <c r="AC19" i="21"/>
  <c r="W39" i="21"/>
  <c r="W30" i="21"/>
  <c r="H45" i="21"/>
  <c r="U45" i="21" s="1"/>
  <c r="F29" i="21"/>
  <c r="S29" i="21"/>
  <c r="F13" i="21"/>
  <c r="AA13" i="21" s="1"/>
  <c r="AC38" i="21"/>
  <c r="H32" i="21"/>
  <c r="H9" i="21"/>
  <c r="J9" i="21"/>
  <c r="J32" i="21"/>
  <c r="F32" i="21"/>
  <c r="AA31" i="21"/>
  <c r="U17"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S28" i="21"/>
  <c r="AC34" i="21"/>
  <c r="W10" i="21"/>
  <c r="W12" i="21"/>
  <c r="AB36" i="21"/>
  <c r="W30" i="40"/>
  <c r="C19" i="39"/>
  <c r="C15" i="40"/>
  <c r="C17" i="40"/>
  <c r="C23" i="40"/>
  <c r="C21" i="40"/>
  <c r="U30" i="40"/>
  <c r="B54" i="43"/>
  <c r="B65" i="43"/>
  <c r="B49" i="43"/>
  <c r="B52" i="43"/>
  <c r="B56" i="43"/>
  <c r="B60" i="43"/>
  <c r="B63" i="43"/>
  <c r="B67" i="43"/>
  <c r="E4" i="4"/>
  <c r="B5" i="62" s="1"/>
  <c r="B73" i="72" s="1"/>
  <c r="C4" i="4"/>
  <c r="AA39" i="40"/>
  <c r="S39" i="40"/>
  <c r="AA12" i="33"/>
  <c r="J32" i="39"/>
  <c r="H107" i="39"/>
  <c r="I107" i="39"/>
  <c r="J107" i="39" s="1"/>
  <c r="K107" i="39" s="1"/>
  <c r="L107" i="39" s="1"/>
  <c r="M107" i="39" s="1"/>
  <c r="H32" i="39"/>
  <c r="S32" i="39"/>
  <c r="AB21" i="39"/>
  <c r="U21" i="39"/>
  <c r="S21" i="39"/>
  <c r="AC21" i="39"/>
  <c r="W21" i="39"/>
  <c r="S26" i="35"/>
  <c r="U9" i="35"/>
  <c r="AB9" i="35"/>
  <c r="AA9" i="35"/>
  <c r="S9" i="35"/>
  <c r="AC26" i="35"/>
  <c r="W26" i="35"/>
  <c r="AB26" i="35"/>
  <c r="U26" i="35"/>
  <c r="AC17" i="37"/>
  <c r="S17" i="37"/>
  <c r="J19" i="37"/>
  <c r="S19" i="37"/>
  <c r="AA19" i="37"/>
  <c r="AA23" i="37"/>
  <c r="J23" i="37"/>
  <c r="G79" i="37"/>
  <c r="J10" i="37"/>
  <c r="I60" i="37"/>
  <c r="G63" i="37"/>
  <c r="H11" i="37"/>
  <c r="AB10" i="37"/>
  <c r="U10" i="37"/>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c r="J91" i="33" s="1"/>
  <c r="K91" i="33" s="1"/>
  <c r="L91" i="33"/>
  <c r="M91" i="33" s="1"/>
  <c r="J27" i="33"/>
  <c r="AB25" i="33"/>
  <c r="S25" i="33"/>
  <c r="AA25" i="33"/>
  <c r="G87" i="33"/>
  <c r="H87" i="33"/>
  <c r="I87" i="33"/>
  <c r="J87" i="33" s="1"/>
  <c r="K87" i="33" s="1"/>
  <c r="L87" i="33" s="1"/>
  <c r="M87" i="33" s="1"/>
  <c r="J25" i="33"/>
  <c r="W25" i="33" s="1"/>
  <c r="U23" i="33"/>
  <c r="F23" i="33"/>
  <c r="G85" i="33"/>
  <c r="AC23" i="33"/>
  <c r="W23" i="33"/>
  <c r="AA19" i="33"/>
  <c r="H19" i="33"/>
  <c r="G81" i="33"/>
  <c r="G79" i="33"/>
  <c r="H17" i="33"/>
  <c r="F17" i="33"/>
  <c r="W17" i="33"/>
  <c r="AC17" i="33"/>
  <c r="U10" i="33"/>
  <c r="AB10" i="33"/>
  <c r="AC10" i="33"/>
  <c r="W10" i="33"/>
  <c r="AC37" i="21"/>
  <c r="U33" i="21"/>
  <c r="AA23" i="21"/>
  <c r="AB15" i="21"/>
  <c r="J23" i="21"/>
  <c r="AC23" i="21" s="1"/>
  <c r="F85" i="21"/>
  <c r="G85" i="21"/>
  <c r="H23" i="21"/>
  <c r="S13" i="21"/>
  <c r="D6" i="52"/>
  <c r="D121" i="9"/>
  <c r="D7" i="52" s="1"/>
  <c r="K120" i="9"/>
  <c r="A18" i="62" s="1"/>
  <c r="B64" i="72" s="1"/>
  <c r="J59" i="9"/>
  <c r="J61" i="9" s="1"/>
  <c r="R22" i="31"/>
  <c r="B21" i="31" s="1"/>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C11" i="34" s="1"/>
  <c r="AC36" i="33"/>
  <c r="W36" i="33"/>
  <c r="U36" i="33"/>
  <c r="AB36" i="33"/>
  <c r="W27" i="33"/>
  <c r="AC27" i="33"/>
  <c r="AC25" i="33"/>
  <c r="AA23" i="33"/>
  <c r="S23" i="33"/>
  <c r="AB19" i="33"/>
  <c r="U19" i="33"/>
  <c r="AA17" i="33"/>
  <c r="S17" i="33"/>
  <c r="U17" i="33"/>
  <c r="AB17" i="33"/>
  <c r="U23" i="21"/>
  <c r="AB23" i="21"/>
  <c r="W23" i="21"/>
  <c r="AC11" i="37"/>
  <c r="W11" i="37"/>
  <c r="W11" i="34"/>
  <c r="AE8" i="1"/>
  <c r="AE6" i="1"/>
  <c r="AG6" i="1"/>
  <c r="J7" i="33"/>
  <c r="W7" i="33" s="1"/>
  <c r="F7" i="33"/>
  <c r="S7" i="33" s="1"/>
  <c r="H7" i="33"/>
  <c r="AB7" i="33" s="1"/>
  <c r="T48" i="33" s="1"/>
  <c r="G48" i="33" s="1"/>
  <c r="E53" i="33" s="1"/>
  <c r="F53" i="33" s="1"/>
  <c r="D59" i="9"/>
  <c r="M55" i="9"/>
  <c r="AD3" i="71"/>
  <c r="C65" i="40"/>
  <c r="D63" i="40"/>
  <c r="E63" i="40" s="1"/>
  <c r="J1" i="73"/>
  <c r="AA7" i="33"/>
  <c r="R48" i="33" s="1"/>
  <c r="E48" i="33" s="1"/>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AC7" i="33"/>
  <c r="V48" i="33"/>
  <c r="I48" i="33" s="1"/>
  <c r="E46" i="36"/>
  <c r="F46" i="36" s="1"/>
  <c r="G46" i="36" s="1"/>
  <c r="H46" i="36" s="1"/>
  <c r="I46" i="36" s="1"/>
  <c r="J46" i="36" s="1"/>
  <c r="K46" i="36" s="1"/>
  <c r="L46" i="36" s="1"/>
  <c r="M46" i="36" s="1"/>
  <c r="N46" i="36" s="1"/>
  <c r="O46" i="36" s="1"/>
  <c r="D58" i="21"/>
  <c r="E58" i="21" s="1"/>
  <c r="C24" i="12"/>
  <c r="AB11" i="71"/>
  <c r="X9" i="71"/>
  <c r="X8" i="71"/>
  <c r="AA9" i="71"/>
  <c r="AA8" i="71"/>
  <c r="X12" i="71"/>
  <c r="Y8" i="71"/>
  <c r="Z8" i="71" s="1"/>
  <c r="AB9" i="71"/>
  <c r="AB8" i="71"/>
  <c r="F10" i="71"/>
  <c r="F9" i="71" s="1"/>
  <c r="F8" i="71" s="1"/>
  <c r="F7" i="71" s="1"/>
  <c r="F6" i="71" s="1"/>
  <c r="F5" i="71" s="1"/>
  <c r="Y9" i="71"/>
  <c r="Z9" i="71" s="1"/>
  <c r="AB3" i="71"/>
  <c r="X3" i="71"/>
  <c r="AF3" i="71"/>
  <c r="P21" i="43" s="1"/>
  <c r="P24" i="43"/>
  <c r="B66" i="40"/>
  <c r="P22" i="43"/>
  <c r="G20" i="43"/>
  <c r="D65" i="40"/>
  <c r="I52" i="33"/>
  <c r="J52" i="33"/>
  <c r="I53" i="33"/>
  <c r="J53" i="33" s="1"/>
  <c r="D70" i="39"/>
  <c r="E68" i="39"/>
  <c r="E70" i="39" s="1"/>
  <c r="E52" i="33"/>
  <c r="F52" i="33" s="1"/>
  <c r="P23" i="43"/>
  <c r="B71" i="39" s="1"/>
  <c r="P25" i="43"/>
  <c r="E41" i="43"/>
  <c r="C41" i="43"/>
  <c r="F68" i="39"/>
  <c r="F70" i="39" s="1"/>
  <c r="C19" i="43"/>
  <c r="D3" i="73"/>
  <c r="E11" i="76"/>
  <c r="AO11" i="1"/>
  <c r="B9" i="76"/>
  <c r="E13" i="76"/>
  <c r="M8" i="67"/>
  <c r="M27" i="67"/>
  <c r="F26" i="67"/>
  <c r="F6" i="73"/>
  <c r="E7" i="76"/>
  <c r="F36" i="67"/>
  <c r="F42" i="67"/>
  <c r="E2" i="69"/>
  <c r="D2" i="37"/>
  <c r="L47" i="67"/>
  <c r="B11" i="76"/>
  <c r="F9" i="67"/>
  <c r="B13" i="76"/>
  <c r="D6" i="73"/>
  <c r="J15" i="67"/>
  <c r="F13" i="67"/>
  <c r="M9" i="67"/>
  <c r="AO10" i="1"/>
  <c r="D4" i="73"/>
  <c r="D2" i="33"/>
  <c r="C76" i="67"/>
  <c r="F7" i="73"/>
  <c r="M22" i="67"/>
  <c r="F3" i="73"/>
  <c r="F5" i="73"/>
  <c r="M28" i="67"/>
  <c r="B8" i="76"/>
  <c r="D2" i="35"/>
  <c r="F20" i="31"/>
  <c r="M23" i="67"/>
  <c r="L48" i="67"/>
  <c r="AO8" i="1"/>
  <c r="F41" i="67"/>
  <c r="E9" i="76"/>
  <c r="M24" i="67"/>
  <c r="E10" i="76"/>
  <c r="E12" i="76"/>
  <c r="F40" i="67"/>
  <c r="F4" i="73"/>
  <c r="F38" i="67"/>
  <c r="M26" i="67"/>
  <c r="D2" i="36"/>
  <c r="B12" i="76"/>
  <c r="B7" i="76"/>
  <c r="B10" i="76"/>
  <c r="M6" i="67"/>
  <c r="AO12" i="1"/>
  <c r="D5" i="73"/>
  <c r="E2" i="68"/>
  <c r="E8" i="76"/>
  <c r="D2" i="34"/>
  <c r="D2" i="21"/>
  <c r="AO6" i="1"/>
  <c r="F37" i="67"/>
  <c r="F8" i="67"/>
  <c r="F16" i="67"/>
  <c r="D7" i="73"/>
  <c r="AO13" i="1"/>
  <c r="F6" i="67"/>
  <c r="B19" i="53" l="1"/>
  <c r="B37" i="72" s="1"/>
  <c r="K4" i="4"/>
  <c r="B46" i="48" s="1"/>
  <c r="B4" i="72" s="1"/>
  <c r="G17" i="43"/>
  <c r="C16" i="43" s="1"/>
  <c r="D5" i="43" s="1"/>
  <c r="B4" i="62"/>
  <c r="B71" i="72" s="1"/>
  <c r="P74" i="15"/>
  <c r="U38" i="39"/>
  <c r="S38" i="39"/>
  <c r="M18" i="15"/>
  <c r="F31" i="12"/>
  <c r="F30" i="68"/>
  <c r="C30" i="68" s="1"/>
  <c r="F54" i="9"/>
  <c r="F32" i="67"/>
  <c r="F60" i="67" s="1"/>
  <c r="F28" i="67"/>
  <c r="C28" i="67" s="1"/>
  <c r="D68" i="9"/>
  <c r="F32" i="15"/>
  <c r="F60" i="15" s="1"/>
  <c r="M18" i="67"/>
  <c r="F28" i="15"/>
  <c r="C28" i="15" s="1"/>
  <c r="F30" i="69"/>
  <c r="C48" i="69" s="1"/>
  <c r="F52" i="9"/>
  <c r="F30" i="11"/>
  <c r="C40" i="11"/>
  <c r="E19" i="11"/>
  <c r="E19" i="68"/>
  <c r="G41" i="68"/>
  <c r="G41" i="11"/>
  <c r="D22" i="15"/>
  <c r="G26" i="12"/>
  <c r="G22" i="69"/>
  <c r="D23" i="15"/>
  <c r="G25" i="12"/>
  <c r="G27" i="12"/>
  <c r="BA41" i="3"/>
  <c r="BL41" i="3"/>
  <c r="BA39" i="3"/>
  <c r="G38" i="3"/>
  <c r="G37" i="3"/>
  <c r="BA35" i="3"/>
  <c r="BL35" i="3"/>
  <c r="G34" i="3"/>
  <c r="BA34" i="3"/>
  <c r="G33" i="3"/>
  <c r="BL33" i="3"/>
  <c r="BQ27" i="3"/>
  <c r="BL27" i="3" s="1"/>
  <c r="F20" i="6"/>
  <c r="E20" i="6" s="1"/>
  <c r="BQ28" i="3"/>
  <c r="BL28" i="3" s="1"/>
  <c r="BQ26" i="3"/>
  <c r="BL26" i="3" s="1"/>
  <c r="BQ20" i="3"/>
  <c r="F7" i="12"/>
  <c r="BQ29" i="3"/>
  <c r="BL29" i="3" s="1"/>
  <c r="G11" i="1"/>
  <c r="BO20" i="3"/>
  <c r="K10" i="1"/>
  <c r="M10" i="1" s="1"/>
  <c r="O10" i="1" s="1"/>
  <c r="P10" i="1" s="1"/>
  <c r="G1" i="69"/>
  <c r="K1" i="12"/>
  <c r="B10" i="1"/>
  <c r="E10" i="1" s="1"/>
  <c r="G28" i="3"/>
  <c r="AC20" i="3"/>
  <c r="G20" i="3" s="1"/>
  <c r="AL5" i="3"/>
  <c r="E7" i="12"/>
  <c r="E8" i="12" s="1"/>
  <c r="G15" i="3"/>
  <c r="BA17" i="3"/>
  <c r="BL17" i="3"/>
  <c r="BL13" i="3"/>
  <c r="G13" i="3"/>
  <c r="BL32" i="3"/>
  <c r="BK5" i="3"/>
  <c r="BL21" i="3"/>
  <c r="BA27" i="3"/>
  <c r="BA31" i="3"/>
  <c r="BA30" i="3"/>
  <c r="BA16" i="3"/>
  <c r="BD5" i="3"/>
  <c r="BA21" i="3"/>
  <c r="AZ21" i="3" s="1"/>
  <c r="BL31" i="3"/>
  <c r="BA29" i="3"/>
  <c r="BS5" i="3"/>
  <c r="AZ31" i="3"/>
  <c r="G30" i="3"/>
  <c r="G29" i="3"/>
  <c r="G27" i="6"/>
  <c r="G57" i="3"/>
  <c r="G62" i="3"/>
  <c r="G105" i="3"/>
  <c r="BA25" i="3"/>
  <c r="BA33" i="3"/>
  <c r="AZ33" i="3" s="1"/>
  <c r="BA36" i="3"/>
  <c r="AZ36" i="3" s="1"/>
  <c r="BA50" i="3"/>
  <c r="AZ50" i="3" s="1"/>
  <c r="BA52" i="3"/>
  <c r="AZ52" i="3" s="1"/>
  <c r="BA58" i="3"/>
  <c r="AZ58" i="3" s="1"/>
  <c r="BA60" i="3"/>
  <c r="AZ60" i="3" s="1"/>
  <c r="BA67" i="3"/>
  <c r="AZ67" i="3" s="1"/>
  <c r="BA70" i="3"/>
  <c r="AZ70" i="3" s="1"/>
  <c r="BA72" i="3"/>
  <c r="AZ72" i="3" s="1"/>
  <c r="G89" i="3"/>
  <c r="G92" i="3"/>
  <c r="G99" i="3"/>
  <c r="BA103" i="3"/>
  <c r="BA97" i="3"/>
  <c r="AZ97" i="3" s="1"/>
  <c r="G102" i="3"/>
  <c r="BA40" i="3"/>
  <c r="BA42" i="3"/>
  <c r="BA44" i="3"/>
  <c r="AZ44" i="3" s="1"/>
  <c r="BA45" i="3"/>
  <c r="AZ45" i="3" s="1"/>
  <c r="BA51" i="3"/>
  <c r="AZ51" i="3" s="1"/>
  <c r="BA53" i="3"/>
  <c r="AZ53" i="3" s="1"/>
  <c r="BA54" i="3"/>
  <c r="AZ54" i="3" s="1"/>
  <c r="BA59" i="3"/>
  <c r="AZ59" i="3" s="1"/>
  <c r="BA61" i="3"/>
  <c r="AZ61" i="3" s="1"/>
  <c r="G80" i="3"/>
  <c r="BA81" i="3"/>
  <c r="BA83" i="3"/>
  <c r="AZ83" i="3" s="1"/>
  <c r="BA90" i="3"/>
  <c r="BA93" i="3"/>
  <c r="AZ93" i="3" s="1"/>
  <c r="BA100" i="3"/>
  <c r="AZ100" i="3" s="1"/>
  <c r="BA101" i="3"/>
  <c r="AZ101" i="3" s="1"/>
  <c r="BA107" i="3"/>
  <c r="AZ107" i="3" s="1"/>
  <c r="BA109" i="3"/>
  <c r="AZ109" i="3" s="1"/>
  <c r="G27" i="3"/>
  <c r="G26" i="3"/>
  <c r="BA26" i="3"/>
  <c r="BA22" i="3"/>
  <c r="BL23" i="3"/>
  <c r="G25" i="3"/>
  <c r="BA24" i="3"/>
  <c r="AZ24" i="3" s="1"/>
  <c r="BC5" i="3"/>
  <c r="BL19" i="3"/>
  <c r="BA19" i="3"/>
  <c r="BM5" i="3"/>
  <c r="BA15" i="3"/>
  <c r="BI5" i="3"/>
  <c r="BF5" i="3"/>
  <c r="BT5" i="3"/>
  <c r="K8" i="1"/>
  <c r="G1" i="15"/>
  <c r="G1" i="68"/>
  <c r="BL16" i="3"/>
  <c r="AZ16" i="3" s="1"/>
  <c r="G16" i="3"/>
  <c r="AR12" i="1"/>
  <c r="T11" i="1"/>
  <c r="AQ11" i="1"/>
  <c r="BL15" i="3"/>
  <c r="AQ12" i="1"/>
  <c r="BA13" i="3"/>
  <c r="BP5" i="3"/>
  <c r="BH5" i="3"/>
  <c r="BR5" i="3"/>
  <c r="T13" i="1"/>
  <c r="AQ13" i="1"/>
  <c r="G13" i="1"/>
  <c r="B9" i="49"/>
  <c r="G10" i="1"/>
  <c r="E22" i="49"/>
  <c r="E21" i="49"/>
  <c r="B14" i="49"/>
  <c r="E11" i="49"/>
  <c r="B11" i="49"/>
  <c r="E4" i="49"/>
  <c r="B13" i="49"/>
  <c r="B8" i="49"/>
  <c r="E7" i="49"/>
  <c r="B6" i="49"/>
  <c r="B10" i="49"/>
  <c r="E13" i="49"/>
  <c r="E14" i="49"/>
  <c r="B4" i="49"/>
  <c r="E8" i="49"/>
  <c r="E9" i="49"/>
  <c r="B22" i="49"/>
  <c r="E6" i="49"/>
  <c r="E10" i="49"/>
  <c r="B16" i="53"/>
  <c r="B33" i="72" s="1"/>
  <c r="H109" i="9"/>
  <c r="H110" i="9" s="1"/>
  <c r="D18" i="53" s="1"/>
  <c r="B35" i="72" s="1"/>
  <c r="F63" i="40"/>
  <c r="E65" i="40"/>
  <c r="G68" i="39"/>
  <c r="H68" i="39" s="1"/>
  <c r="C48" i="68"/>
  <c r="U7" i="33"/>
  <c r="R49" i="33"/>
  <c r="F69" i="67"/>
  <c r="C27" i="67"/>
  <c r="E20" i="43"/>
  <c r="F66" i="67"/>
  <c r="B11" i="70"/>
  <c r="B8" i="70"/>
  <c r="Q71" i="67"/>
  <c r="F70" i="67"/>
  <c r="L59" i="67"/>
  <c r="L58" i="67"/>
  <c r="N59" i="67"/>
  <c r="B13" i="70"/>
  <c r="F68" i="67"/>
  <c r="F64" i="67"/>
  <c r="K1" i="73"/>
  <c r="B10" i="70"/>
  <c r="B6" i="70"/>
  <c r="B20" i="31"/>
  <c r="I1" i="73"/>
  <c r="B39" i="1" s="1"/>
  <c r="F51" i="67"/>
  <c r="F65" i="67"/>
  <c r="B12" i="70"/>
  <c r="J57" i="67"/>
  <c r="J55" i="67" s="1"/>
  <c r="J58" i="67" s="1"/>
  <c r="Q50" i="67" s="1"/>
  <c r="L56" i="67"/>
  <c r="I54" i="67"/>
  <c r="F58" i="21"/>
  <c r="G58" i="21" s="1"/>
  <c r="H58" i="21" s="1"/>
  <c r="I58" i="21" s="1"/>
  <c r="J58" i="21" s="1"/>
  <c r="K58" i="21" s="1"/>
  <c r="L58" i="21" s="1"/>
  <c r="M58" i="21" s="1"/>
  <c r="N58" i="21" s="1"/>
  <c r="O58" i="21" s="1"/>
  <c r="F7" i="21"/>
  <c r="J7" i="21"/>
  <c r="I68" i="39"/>
  <c r="H70" i="39"/>
  <c r="K59" i="34"/>
  <c r="L59" i="34" s="1"/>
  <c r="M59" i="34" s="1"/>
  <c r="N59" i="34" s="1"/>
  <c r="O59" i="34" s="1"/>
  <c r="H48" i="35"/>
  <c r="I48" i="35" s="1"/>
  <c r="J48" i="35" s="1"/>
  <c r="K48" i="35" s="1"/>
  <c r="L48" i="35" s="1"/>
  <c r="M48" i="35" s="1"/>
  <c r="N48" i="35" s="1"/>
  <c r="O48" i="35" s="1"/>
  <c r="H7" i="35"/>
  <c r="J7" i="34"/>
  <c r="H7" i="36"/>
  <c r="G70" i="39"/>
  <c r="H7" i="34"/>
  <c r="H7" i="21"/>
  <c r="J7" i="36"/>
  <c r="F7" i="36"/>
  <c r="J7" i="35"/>
  <c r="G52" i="33"/>
  <c r="H52" i="33" s="1"/>
  <c r="G53" i="33"/>
  <c r="H53" i="33" s="1"/>
  <c r="F7" i="35"/>
  <c r="I52" i="37"/>
  <c r="D124" i="9"/>
  <c r="D16" i="53"/>
  <c r="S43" i="34"/>
  <c r="S34" i="33"/>
  <c r="AA34" i="33"/>
  <c r="U35" i="34"/>
  <c r="AB35" i="34"/>
  <c r="AZ557" i="3"/>
  <c r="AZ513" i="3"/>
  <c r="AB46" i="33"/>
  <c r="U46" i="33"/>
  <c r="S44" i="33"/>
  <c r="AA44" i="33"/>
  <c r="S15" i="40"/>
  <c r="AA15" i="40"/>
  <c r="S30" i="40"/>
  <c r="O12" i="1"/>
  <c r="P12" i="1" s="1"/>
  <c r="O9" i="1"/>
  <c r="P9" i="1" s="1"/>
  <c r="AA23" i="39"/>
  <c r="S23" i="39"/>
  <c r="S35" i="33"/>
  <c r="AA35" i="33"/>
  <c r="U27" i="40"/>
  <c r="AB27" i="40"/>
  <c r="U41" i="34"/>
  <c r="AB41" i="34"/>
  <c r="AC46" i="21"/>
  <c r="W46" i="21"/>
  <c r="W17" i="34"/>
  <c r="AC17" i="34"/>
  <c r="AA29" i="35"/>
  <c r="S29" i="35"/>
  <c r="W20" i="35"/>
  <c r="AC20" i="35"/>
  <c r="AB14" i="35"/>
  <c r="U14" i="35"/>
  <c r="AA28" i="33"/>
  <c r="S28" i="33"/>
  <c r="AA37" i="21"/>
  <c r="AZ17" i="3"/>
  <c r="S20" i="35"/>
  <c r="W39" i="34"/>
  <c r="AC39" i="34"/>
  <c r="S27" i="40"/>
  <c r="AA27" i="40"/>
  <c r="W34" i="33"/>
  <c r="AC34" i="33"/>
  <c r="S10" i="35"/>
  <c r="AA10" i="35"/>
  <c r="AZ564" i="3"/>
  <c r="U45" i="33"/>
  <c r="AB45" i="33"/>
  <c r="S29" i="33"/>
  <c r="AA29" i="33"/>
  <c r="S14" i="21"/>
  <c r="AA14" i="21"/>
  <c r="AC37" i="34"/>
  <c r="W37" i="34"/>
  <c r="AB33" i="37"/>
  <c r="U33" i="37"/>
  <c r="AA24" i="36"/>
  <c r="S24" i="36"/>
  <c r="S36" i="35"/>
  <c r="AA36" i="35"/>
  <c r="AA32" i="37"/>
  <c r="S32" i="37"/>
  <c r="W20" i="36"/>
  <c r="AC20" i="36"/>
  <c r="W15" i="39"/>
  <c r="AC15" i="39"/>
  <c r="AA25" i="39"/>
  <c r="S25" i="39"/>
  <c r="AZ561" i="3"/>
  <c r="W40" i="37"/>
  <c r="AC40" i="37"/>
  <c r="AC37" i="37"/>
  <c r="W37" i="37"/>
  <c r="AC11" i="35"/>
  <c r="W11" i="35"/>
  <c r="AA36" i="40"/>
  <c r="S36" i="40"/>
  <c r="AZ573" i="3"/>
  <c r="AZ572" i="3"/>
  <c r="BL571" i="3"/>
  <c r="AZ569" i="3"/>
  <c r="AZ568" i="3"/>
  <c r="BL565" i="3"/>
  <c r="AZ565" i="3" s="1"/>
  <c r="U16" i="36"/>
  <c r="W19" i="39"/>
  <c r="AZ382" i="3"/>
  <c r="AZ321" i="3"/>
  <c r="AZ309" i="3"/>
  <c r="AB34" i="39"/>
  <c r="S21" i="40"/>
  <c r="AZ559" i="3"/>
  <c r="BA554" i="3"/>
  <c r="H28" i="33"/>
  <c r="C15" i="39"/>
  <c r="W9" i="34"/>
  <c r="J29" i="21"/>
  <c r="H29" i="21"/>
  <c r="U12" i="35"/>
  <c r="AB12" i="35"/>
  <c r="U27" i="37"/>
  <c r="AB27" i="37"/>
  <c r="AA34" i="39"/>
  <c r="S34" i="39"/>
  <c r="AB34" i="40"/>
  <c r="U34" i="40"/>
  <c r="AC30" i="36"/>
  <c r="W30" i="36"/>
  <c r="BA582" i="3"/>
  <c r="AZ582" i="3" s="1"/>
  <c r="BL581" i="3"/>
  <c r="AZ581" i="3" s="1"/>
  <c r="BA579" i="3"/>
  <c r="AZ579" i="3" s="1"/>
  <c r="BL578" i="3"/>
  <c r="BA578" i="3"/>
  <c r="AZ578" i="3" s="1"/>
  <c r="BL576" i="3"/>
  <c r="AZ576" i="3" s="1"/>
  <c r="BL575" i="3"/>
  <c r="AZ575" i="3" s="1"/>
  <c r="BA574" i="3"/>
  <c r="AZ574" i="3" s="1"/>
  <c r="G574" i="3"/>
  <c r="BA571" i="3"/>
  <c r="AZ571" i="3" s="1"/>
  <c r="BA570" i="3"/>
  <c r="AZ570" i="3" s="1"/>
  <c r="AB10" i="35"/>
  <c r="AB23" i="35"/>
  <c r="AZ357" i="3"/>
  <c r="AZ337" i="3"/>
  <c r="AZ341" i="3"/>
  <c r="AA12" i="35"/>
  <c r="AZ503" i="3"/>
  <c r="AZ542" i="3"/>
  <c r="BL554" i="3"/>
  <c r="U13" i="34"/>
  <c r="AB13" i="34"/>
  <c r="J28" i="33"/>
  <c r="U26" i="33"/>
  <c r="AB26" i="33"/>
  <c r="AC34" i="36"/>
  <c r="S26" i="33"/>
  <c r="AC12" i="34"/>
  <c r="W33" i="36"/>
  <c r="AC33" i="36"/>
  <c r="AB43" i="21"/>
  <c r="BA586" i="3"/>
  <c r="AZ586" i="3" s="1"/>
  <c r="F9" i="34"/>
  <c r="J27" i="34"/>
  <c r="F27" i="34"/>
  <c r="H27" i="34"/>
  <c r="J32" i="40"/>
  <c r="W34" i="39"/>
  <c r="AB19" i="40"/>
  <c r="BE5" i="3"/>
  <c r="AZ509" i="3"/>
  <c r="AZ521" i="3"/>
  <c r="AZ515" i="3"/>
  <c r="AZ498" i="3"/>
  <c r="AZ506" i="3"/>
  <c r="AC29" i="33"/>
  <c r="W29" i="33"/>
  <c r="W33" i="37"/>
  <c r="S8" i="36"/>
  <c r="AB30" i="35"/>
  <c r="U30" i="35"/>
  <c r="AB12" i="33"/>
  <c r="W8" i="40"/>
  <c r="BL585" i="3"/>
  <c r="AZ585" i="3" s="1"/>
  <c r="W8" i="35"/>
  <c r="AC8" i="35"/>
  <c r="J24" i="35"/>
  <c r="F24" i="35"/>
  <c r="J24" i="36"/>
  <c r="AC26" i="37"/>
  <c r="W26" i="37"/>
  <c r="J39" i="37"/>
  <c r="F39" i="37"/>
  <c r="J37" i="39"/>
  <c r="F37" i="39"/>
  <c r="H37" i="39"/>
  <c r="J14" i="21"/>
  <c r="H14" i="21"/>
  <c r="H46" i="21"/>
  <c r="F46" i="21"/>
  <c r="H36" i="35"/>
  <c r="J36" i="35"/>
  <c r="BL567" i="3"/>
  <c r="AZ567" i="3" s="1"/>
  <c r="BA566" i="3"/>
  <c r="AZ566" i="3" s="1"/>
  <c r="BA563" i="3"/>
  <c r="AZ563" i="3" s="1"/>
  <c r="BL562" i="3"/>
  <c r="BA562" i="3"/>
  <c r="G556" i="3"/>
  <c r="H5" i="3"/>
  <c r="BG5" i="3"/>
  <c r="BA553" i="3"/>
  <c r="AZ553" i="3" s="1"/>
  <c r="BJ5" i="3"/>
  <c r="BA551" i="3"/>
  <c r="AZ551" i="3" s="1"/>
  <c r="BN5" i="3"/>
  <c r="H25" i="37"/>
  <c r="F25" i="37"/>
  <c r="J25" i="37"/>
  <c r="BL548" i="3"/>
  <c r="AZ548" i="3" s="1"/>
  <c r="AZ398" i="3"/>
  <c r="AZ414" i="3"/>
  <c r="AZ419" i="3"/>
  <c r="H44" i="39"/>
  <c r="F44" i="39"/>
  <c r="BL550" i="3"/>
  <c r="AZ550" i="3" s="1"/>
  <c r="G542" i="3"/>
  <c r="AZ475" i="3"/>
  <c r="AZ231" i="3"/>
  <c r="AZ439" i="3"/>
  <c r="AZ472" i="3"/>
  <c r="AZ486" i="3"/>
  <c r="AZ385" i="3"/>
  <c r="AZ225" i="3"/>
  <c r="AZ409" i="3"/>
  <c r="AZ445" i="3"/>
  <c r="AZ460" i="3"/>
  <c r="AZ492" i="3"/>
  <c r="AZ217" i="3"/>
  <c r="AZ418" i="3"/>
  <c r="AZ422" i="3"/>
  <c r="AZ427" i="3"/>
  <c r="AZ436" i="3"/>
  <c r="S21" i="33"/>
  <c r="AA21" i="33"/>
  <c r="AB18" i="36"/>
  <c r="U18" i="36"/>
  <c r="AZ429" i="3"/>
  <c r="AZ438" i="3"/>
  <c r="AZ483" i="3"/>
  <c r="AZ487" i="3"/>
  <c r="AZ488" i="3"/>
  <c r="AZ316" i="3"/>
  <c r="AZ395" i="3"/>
  <c r="AZ208" i="3"/>
  <c r="AZ211" i="3"/>
  <c r="J38" i="40"/>
  <c r="P13" i="1"/>
  <c r="BA402" i="3"/>
  <c r="AZ402" i="3" s="1"/>
  <c r="BL406" i="3"/>
  <c r="BL409" i="3"/>
  <c r="G410" i="3"/>
  <c r="G414" i="3"/>
  <c r="BL418" i="3"/>
  <c r="BL422" i="3"/>
  <c r="BL423" i="3"/>
  <c r="AZ423" i="3" s="1"/>
  <c r="G424" i="3"/>
  <c r="BL426" i="3"/>
  <c r="AZ426" i="3" s="1"/>
  <c r="BL427" i="3"/>
  <c r="G428" i="3"/>
  <c r="BA430" i="3"/>
  <c r="AZ430" i="3" s="1"/>
  <c r="BA431" i="3"/>
  <c r="AZ431" i="3" s="1"/>
  <c r="BL439" i="3"/>
  <c r="BL440" i="3"/>
  <c r="AZ440" i="3" s="1"/>
  <c r="G441" i="3"/>
  <c r="BA444" i="3"/>
  <c r="AZ444" i="3" s="1"/>
  <c r="BL450" i="3"/>
  <c r="AZ450" i="3" s="1"/>
  <c r="BL454" i="3"/>
  <c r="AZ454" i="3" s="1"/>
  <c r="BL455" i="3"/>
  <c r="AZ455" i="3" s="1"/>
  <c r="G456" i="3"/>
  <c r="G460" i="3"/>
  <c r="AZ461" i="3"/>
  <c r="BL462" i="3"/>
  <c r="G463" i="3"/>
  <c r="G467" i="3"/>
  <c r="BL469" i="3"/>
  <c r="G470" i="3"/>
  <c r="BL472" i="3"/>
  <c r="BL475" i="3"/>
  <c r="BL476" i="3"/>
  <c r="AZ476" i="3" s="1"/>
  <c r="BA484" i="3"/>
  <c r="AZ484" i="3" s="1"/>
  <c r="BA485" i="3"/>
  <c r="AZ485" i="3" s="1"/>
  <c r="BA491" i="3"/>
  <c r="AZ491" i="3" s="1"/>
  <c r="BL308" i="3"/>
  <c r="AZ308" i="3" s="1"/>
  <c r="BA315" i="3"/>
  <c r="AZ315" i="3" s="1"/>
  <c r="BA319" i="3"/>
  <c r="AZ319" i="3" s="1"/>
  <c r="BL332" i="3"/>
  <c r="AZ332" i="3" s="1"/>
  <c r="BL340" i="3"/>
  <c r="AZ340" i="3" s="1"/>
  <c r="BL346" i="3"/>
  <c r="AZ346" i="3" s="1"/>
  <c r="BL350" i="3"/>
  <c r="AZ350" i="3" s="1"/>
  <c r="G351" i="3"/>
  <c r="BL359" i="3"/>
  <c r="AZ359" i="3" s="1"/>
  <c r="BA366" i="3"/>
  <c r="AZ366" i="3" s="1"/>
  <c r="BL216" i="3"/>
  <c r="BA220" i="3"/>
  <c r="AZ220" i="3" s="1"/>
  <c r="BL223" i="3"/>
  <c r="AZ223" i="3" s="1"/>
  <c r="AZ228" i="3"/>
  <c r="BL230" i="3"/>
  <c r="AZ244" i="3"/>
  <c r="G401" i="3"/>
  <c r="BA406" i="3"/>
  <c r="AZ406" i="3" s="1"/>
  <c r="G411" i="3"/>
  <c r="BA412" i="3"/>
  <c r="AZ412" i="3" s="1"/>
  <c r="BA413" i="3"/>
  <c r="AZ413" i="3" s="1"/>
  <c r="BA416" i="3"/>
  <c r="AZ416" i="3" s="1"/>
  <c r="BL419" i="3"/>
  <c r="G420" i="3"/>
  <c r="G425" i="3"/>
  <c r="BL433" i="3"/>
  <c r="AZ433" i="3" s="1"/>
  <c r="G434" i="3"/>
  <c r="BL436" i="3"/>
  <c r="BL442" i="3"/>
  <c r="AZ442" i="3" s="1"/>
  <c r="BL446" i="3"/>
  <c r="AZ446" i="3" s="1"/>
  <c r="BL447" i="3"/>
  <c r="AZ447" i="3" s="1"/>
  <c r="G448" i="3"/>
  <c r="BL451" i="3"/>
  <c r="AZ451" i="3" s="1"/>
  <c r="G452" i="3"/>
  <c r="G457" i="3"/>
  <c r="BL457" i="3"/>
  <c r="AZ457" i="3" s="1"/>
  <c r="BA462" i="3"/>
  <c r="G464" i="3"/>
  <c r="BA465" i="3"/>
  <c r="AZ465" i="3" s="1"/>
  <c r="BA466" i="3"/>
  <c r="AZ466" i="3" s="1"/>
  <c r="BA469" i="3"/>
  <c r="AZ469" i="3" s="1"/>
  <c r="G471" i="3"/>
  <c r="G474" i="3"/>
  <c r="BL479" i="3"/>
  <c r="AZ479" i="3" s="1"/>
  <c r="BL480" i="3"/>
  <c r="AZ480" i="3" s="1"/>
  <c r="G481" i="3"/>
  <c r="BL487" i="3"/>
  <c r="BL488" i="3"/>
  <c r="G489" i="3"/>
  <c r="G307" i="3"/>
  <c r="G339" i="3"/>
  <c r="G358" i="3"/>
  <c r="BL367" i="3"/>
  <c r="AZ367" i="3" s="1"/>
  <c r="G369" i="3"/>
  <c r="BL383" i="3"/>
  <c r="AZ383" i="3" s="1"/>
  <c r="BL396" i="3"/>
  <c r="AZ396" i="3" s="1"/>
  <c r="BL209" i="3"/>
  <c r="AZ209" i="3" s="1"/>
  <c r="BA213" i="3"/>
  <c r="AZ213" i="3" s="1"/>
  <c r="BA215" i="3"/>
  <c r="AZ215" i="3" s="1"/>
  <c r="BA216" i="3"/>
  <c r="G219" i="3"/>
  <c r="G220" i="3"/>
  <c r="BA229" i="3"/>
  <c r="AZ229" i="3" s="1"/>
  <c r="BA230" i="3"/>
  <c r="G233" i="3"/>
  <c r="BL235" i="3"/>
  <c r="AZ235" i="3" s="1"/>
  <c r="BL238" i="3"/>
  <c r="AZ238" i="3" s="1"/>
  <c r="AZ301" i="3"/>
  <c r="AZ126" i="3"/>
  <c r="BA374" i="3"/>
  <c r="AZ374" i="3" s="1"/>
  <c r="BA386" i="3"/>
  <c r="AZ386" i="3" s="1"/>
  <c r="BL213" i="3"/>
  <c r="BL218" i="3"/>
  <c r="AZ218" i="3" s="1"/>
  <c r="G223" i="3"/>
  <c r="G228" i="3"/>
  <c r="BL232" i="3"/>
  <c r="AZ232" i="3" s="1"/>
  <c r="BL240" i="3"/>
  <c r="AZ240" i="3" s="1"/>
  <c r="BA242" i="3"/>
  <c r="AZ242" i="3" s="1"/>
  <c r="BA243" i="3"/>
  <c r="AZ243" i="3" s="1"/>
  <c r="BL245" i="3"/>
  <c r="AZ245" i="3" s="1"/>
  <c r="BL249" i="3"/>
  <c r="AZ249" i="3" s="1"/>
  <c r="AZ252" i="3"/>
  <c r="AZ255" i="3"/>
  <c r="AZ260" i="3"/>
  <c r="AZ267" i="3"/>
  <c r="AZ270" i="3"/>
  <c r="AZ285" i="3"/>
  <c r="AZ293" i="3"/>
  <c r="AZ302" i="3"/>
  <c r="AZ185" i="3"/>
  <c r="AZ62" i="3"/>
  <c r="BL368" i="3"/>
  <c r="AZ368" i="3" s="1"/>
  <c r="G384" i="3"/>
  <c r="G396" i="3"/>
  <c r="G209" i="3"/>
  <c r="G212" i="3"/>
  <c r="G217" i="3"/>
  <c r="BA222" i="3"/>
  <c r="AZ222" i="3" s="1"/>
  <c r="BA227" i="3"/>
  <c r="AZ227" i="3" s="1"/>
  <c r="G231" i="3"/>
  <c r="G238" i="3"/>
  <c r="BL241" i="3"/>
  <c r="AZ241" i="3" s="1"/>
  <c r="BL250" i="3"/>
  <c r="AZ250" i="3" s="1"/>
  <c r="AZ277" i="3"/>
  <c r="AZ193" i="3"/>
  <c r="AZ65" i="3"/>
  <c r="AZ73" i="3"/>
  <c r="AZ81" i="3"/>
  <c r="BL127" i="3"/>
  <c r="AZ127" i="3" s="1"/>
  <c r="BA134" i="3"/>
  <c r="AZ134" i="3" s="1"/>
  <c r="AZ141" i="3"/>
  <c r="G146" i="3"/>
  <c r="BL149" i="3"/>
  <c r="AZ149" i="3" s="1"/>
  <c r="BL154" i="3"/>
  <c r="AZ154" i="3" s="1"/>
  <c r="BA157" i="3"/>
  <c r="AZ157" i="3" s="1"/>
  <c r="BL161" i="3"/>
  <c r="AZ161" i="3" s="1"/>
  <c r="BL163" i="3"/>
  <c r="AZ163" i="3" s="1"/>
  <c r="G164" i="3"/>
  <c r="BL167" i="3"/>
  <c r="AZ167" i="3" s="1"/>
  <c r="BA200" i="3"/>
  <c r="AZ200" i="3" s="1"/>
  <c r="AZ57" i="3"/>
  <c r="AZ64" i="3"/>
  <c r="AZ87" i="3"/>
  <c r="G127" i="3"/>
  <c r="BL133" i="3"/>
  <c r="AZ133" i="3" s="1"/>
  <c r="BA137" i="3"/>
  <c r="AZ137" i="3" s="1"/>
  <c r="BA142" i="3"/>
  <c r="AZ142" i="3" s="1"/>
  <c r="BA145" i="3"/>
  <c r="AZ145" i="3" s="1"/>
  <c r="BA156" i="3"/>
  <c r="AZ156" i="3" s="1"/>
  <c r="G163" i="3"/>
  <c r="BL166" i="3"/>
  <c r="AZ166" i="3" s="1"/>
  <c r="G167" i="3"/>
  <c r="BA169" i="3"/>
  <c r="AZ169" i="3" s="1"/>
  <c r="G172" i="3"/>
  <c r="BL173" i="3"/>
  <c r="AZ173" i="3" s="1"/>
  <c r="BL175" i="3"/>
  <c r="AZ175" i="3" s="1"/>
  <c r="G176" i="3"/>
  <c r="BA180" i="3"/>
  <c r="AZ180" i="3" s="1"/>
  <c r="BL187" i="3"/>
  <c r="AZ187" i="3" s="1"/>
  <c r="G190" i="3"/>
  <c r="BL190" i="3"/>
  <c r="AZ190" i="3" s="1"/>
  <c r="BA194" i="3"/>
  <c r="AZ194" i="3" s="1"/>
  <c r="BA198" i="3"/>
  <c r="AZ198" i="3" s="1"/>
  <c r="BL201" i="3"/>
  <c r="AZ201" i="3" s="1"/>
  <c r="G202" i="3"/>
  <c r="BA205" i="3"/>
  <c r="AZ205" i="3" s="1"/>
  <c r="BL18" i="3"/>
  <c r="AZ18" i="3" s="1"/>
  <c r="G23" i="3"/>
  <c r="G31" i="3"/>
  <c r="BA37" i="3"/>
  <c r="BL42" i="3"/>
  <c r="AZ42" i="3" s="1"/>
  <c r="G43" i="3"/>
  <c r="AZ49" i="3"/>
  <c r="BA56" i="3"/>
  <c r="AZ56" i="3" s="1"/>
  <c r="BL75" i="3"/>
  <c r="AZ75" i="3" s="1"/>
  <c r="G77" i="3"/>
  <c r="G84" i="3"/>
  <c r="BA20" i="3"/>
  <c r="BA23" i="3"/>
  <c r="AZ23" i="3" s="1"/>
  <c r="BA28" i="3"/>
  <c r="BL37" i="3"/>
  <c r="AZ76" i="3"/>
  <c r="AZ90" i="3"/>
  <c r="AZ95" i="3"/>
  <c r="C21" i="69"/>
  <c r="C40" i="69"/>
  <c r="G19" i="3"/>
  <c r="BL22" i="3"/>
  <c r="BL25" i="3"/>
  <c r="AZ25" i="3" s="1"/>
  <c r="BL30" i="3"/>
  <c r="BA32" i="3"/>
  <c r="AZ32" i="3" s="1"/>
  <c r="BL34" i="3"/>
  <c r="AZ34" i="3" s="1"/>
  <c r="G39" i="3"/>
  <c r="BL39" i="3"/>
  <c r="AZ39" i="3" s="1"/>
  <c r="BL40" i="3"/>
  <c r="AZ40" i="3" s="1"/>
  <c r="G41" i="3"/>
  <c r="G46" i="3"/>
  <c r="BA47" i="3"/>
  <c r="AZ47" i="3" s="1"/>
  <c r="BA48" i="3"/>
  <c r="AZ48" i="3" s="1"/>
  <c r="G54" i="3"/>
  <c r="BA55" i="3"/>
  <c r="AZ55" i="3" s="1"/>
  <c r="BA63" i="3"/>
  <c r="AZ63" i="3" s="1"/>
  <c r="BA71" i="3"/>
  <c r="AZ71" i="3" s="1"/>
  <c r="BL73" i="3"/>
  <c r="BL80" i="3"/>
  <c r="AZ80" i="3" s="1"/>
  <c r="G82" i="3"/>
  <c r="BA85" i="3"/>
  <c r="AZ85" i="3" s="1"/>
  <c r="BL87" i="3"/>
  <c r="BA91" i="3"/>
  <c r="AZ91" i="3" s="1"/>
  <c r="G94" i="3"/>
  <c r="BA96" i="3"/>
  <c r="AZ96" i="3" s="1"/>
  <c r="BL110" i="3"/>
  <c r="AZ110" i="3" s="1"/>
  <c r="D100" i="43"/>
  <c r="D108" i="43"/>
  <c r="AZ103" i="3"/>
  <c r="F3" i="35"/>
  <c r="W18" i="35"/>
  <c r="AC18" i="35"/>
  <c r="C20" i="71"/>
  <c r="D19" i="71"/>
  <c r="C24" i="71"/>
  <c r="D23" i="71"/>
  <c r="C41" i="71"/>
  <c r="D40" i="71"/>
  <c r="C44" i="71"/>
  <c r="D43" i="71"/>
  <c r="BL100" i="3"/>
  <c r="BA104" i="3"/>
  <c r="AZ104" i="3" s="1"/>
  <c r="BA106" i="3"/>
  <c r="AZ106" i="3" s="1"/>
  <c r="BL108" i="3"/>
  <c r="AZ108" i="3" s="1"/>
  <c r="BA111" i="3"/>
  <c r="AZ111" i="3" s="1"/>
  <c r="D24" i="67"/>
  <c r="D23" i="67"/>
  <c r="C28" i="71"/>
  <c r="D27" i="71"/>
  <c r="T33" i="71"/>
  <c r="D33" i="71"/>
  <c r="C40" i="68"/>
  <c r="AC21" i="33"/>
  <c r="AC21" i="37"/>
  <c r="AB21" i="34"/>
  <c r="AE12" i="43"/>
  <c r="AE10" i="43"/>
  <c r="M56" i="9"/>
  <c r="N56" i="9"/>
  <c r="X13" i="71"/>
  <c r="Y11" i="71"/>
  <c r="Z11" i="71" s="1"/>
  <c r="X10" i="71"/>
  <c r="Y3" i="71"/>
  <c r="Z3" i="71" s="1"/>
  <c r="X5" i="71"/>
  <c r="X6" i="71"/>
  <c r="D53" i="71"/>
  <c r="C75" i="71"/>
  <c r="D75" i="71" s="1"/>
  <c r="AB14" i="71"/>
  <c r="S17" i="71"/>
  <c r="E56" i="71"/>
  <c r="X14" i="71"/>
  <c r="Y22" i="71"/>
  <c r="Z22" i="71" s="1"/>
  <c r="Y18" i="71"/>
  <c r="Z18" i="71" s="1"/>
  <c r="AB19" i="71"/>
  <c r="F56" i="71"/>
  <c r="V57" i="71"/>
  <c r="AI10" i="43"/>
  <c r="Y13" i="71"/>
  <c r="Z13" i="71" s="1"/>
  <c r="AA12" i="71"/>
  <c r="AA13" i="71"/>
  <c r="AA11" i="71"/>
  <c r="E13" i="71"/>
  <c r="AB10" i="71"/>
  <c r="AA7" i="71"/>
  <c r="Y5" i="71"/>
  <c r="Z5" i="71" s="1"/>
  <c r="Y6" i="71"/>
  <c r="Z6" i="71" s="1"/>
  <c r="U57" i="71"/>
  <c r="X17" i="71"/>
  <c r="Y17" i="71"/>
  <c r="Z17" i="71" s="1"/>
  <c r="Y15" i="71"/>
  <c r="Z15" i="71" s="1"/>
  <c r="Y21" i="71"/>
  <c r="Z21" i="71" s="1"/>
  <c r="Y25" i="71"/>
  <c r="Z25" i="71" s="1"/>
  <c r="AA10" i="43"/>
  <c r="AC12" i="43"/>
  <c r="AC10" i="43"/>
  <c r="AG10" i="43"/>
  <c r="AG12" i="43"/>
  <c r="K56" i="9"/>
  <c r="AB12" i="71"/>
  <c r="Y10" i="71"/>
  <c r="Z10" i="71" s="1"/>
  <c r="AA10" i="71"/>
  <c r="AA5" i="71"/>
  <c r="AA6" i="71"/>
  <c r="I100" i="43"/>
  <c r="S18" i="36"/>
  <c r="AA21" i="71"/>
  <c r="Y19" i="71"/>
  <c r="Z19" i="71" s="1"/>
  <c r="AB20" i="71"/>
  <c r="Y23" i="71"/>
  <c r="Z23" i="71" s="1"/>
  <c r="X22" i="71"/>
  <c r="X23" i="71"/>
  <c r="AB24" i="71"/>
  <c r="Y27" i="71"/>
  <c r="Z27" i="71" s="1"/>
  <c r="F44" i="71"/>
  <c r="F45" i="71" s="1"/>
  <c r="V45" i="71" s="1"/>
  <c r="B13" i="71"/>
  <c r="X11" i="71"/>
  <c r="X7" i="71"/>
  <c r="Y7" i="71"/>
  <c r="Z7" i="71" s="1"/>
  <c r="AB7" i="71"/>
  <c r="AB5" i="71"/>
  <c r="AH10" i="43"/>
  <c r="Z10" i="43"/>
  <c r="AB13" i="71"/>
  <c r="Y12" i="71"/>
  <c r="Z12" i="71" s="1"/>
  <c r="AB6" i="71"/>
  <c r="AD10" i="43"/>
  <c r="C13" i="71"/>
  <c r="M24" i="15"/>
  <c r="M28" i="15"/>
  <c r="J15" i="15"/>
  <c r="F36" i="15"/>
  <c r="L48" i="15"/>
  <c r="F7" i="67"/>
  <c r="M27" i="15"/>
  <c r="F13" i="15"/>
  <c r="F37" i="15"/>
  <c r="G1" i="73"/>
  <c r="M22" i="15"/>
  <c r="F42" i="15"/>
  <c r="C76" i="15"/>
  <c r="F6" i="15"/>
  <c r="F38" i="15"/>
  <c r="M6" i="15"/>
  <c r="F16" i="15"/>
  <c r="F26" i="15"/>
  <c r="F40" i="15"/>
  <c r="F9" i="15"/>
  <c r="M26" i="15"/>
  <c r="F43" i="67"/>
  <c r="L47" i="15"/>
  <c r="M29" i="15"/>
  <c r="F8" i="15"/>
  <c r="M29" i="67"/>
  <c r="F7" i="15"/>
  <c r="M8" i="15"/>
  <c r="F31" i="67"/>
  <c r="M23" i="15"/>
  <c r="F43" i="15"/>
  <c r="M9" i="15"/>
  <c r="C5" i="43" l="1"/>
  <c r="F11" i="80"/>
  <c r="M11" i="80"/>
  <c r="C30" i="69"/>
  <c r="C48" i="11"/>
  <c r="C30" i="11"/>
  <c r="AZ41" i="3"/>
  <c r="AZ35" i="3"/>
  <c r="AI5" i="3"/>
  <c r="F71" i="67"/>
  <c r="F50" i="67"/>
  <c r="C49" i="67" s="1"/>
  <c r="C6" i="67"/>
  <c r="C32" i="67" s="1"/>
  <c r="M7" i="67"/>
  <c r="J6" i="67" s="1"/>
  <c r="M8" i="1"/>
  <c r="AM5" i="3"/>
  <c r="BQ5" i="3"/>
  <c r="F28" i="6" s="1"/>
  <c r="BL20" i="3"/>
  <c r="AZ20" i="3" s="1"/>
  <c r="AZ15" i="3"/>
  <c r="AZ30" i="3"/>
  <c r="AZ22" i="3"/>
  <c r="AZ29" i="3"/>
  <c r="AZ28" i="3"/>
  <c r="AZ13" i="3"/>
  <c r="K7" i="1"/>
  <c r="D7" i="12"/>
  <c r="AZ27" i="3"/>
  <c r="G29" i="6"/>
  <c r="AZ26" i="3"/>
  <c r="G28" i="6"/>
  <c r="AZ19" i="3"/>
  <c r="F71" i="15"/>
  <c r="F51" i="15"/>
  <c r="F50" i="15"/>
  <c r="M7" i="15"/>
  <c r="J57" i="15"/>
  <c r="J55" i="15" s="1"/>
  <c r="J58" i="15" s="1"/>
  <c r="Q50" i="15" s="1"/>
  <c r="I54" i="15"/>
  <c r="Q71" i="15"/>
  <c r="F68" i="15"/>
  <c r="F65" i="15"/>
  <c r="C27" i="15"/>
  <c r="F64" i="15"/>
  <c r="L58" i="15"/>
  <c r="Q60" i="15" s="1"/>
  <c r="N59" i="15"/>
  <c r="C6" i="15"/>
  <c r="C32" i="15" s="1"/>
  <c r="F66" i="15"/>
  <c r="F7" i="34"/>
  <c r="C49" i="33"/>
  <c r="C48" i="33"/>
  <c r="F65" i="40"/>
  <c r="G63" i="40"/>
  <c r="B40" i="1"/>
  <c r="F24" i="80" s="1"/>
  <c r="AB36" i="35"/>
  <c r="U36" i="35"/>
  <c r="AC14" i="21"/>
  <c r="W14" i="21"/>
  <c r="AA39" i="37"/>
  <c r="S39" i="37"/>
  <c r="AC24" i="36"/>
  <c r="W24" i="36"/>
  <c r="E12" i="71"/>
  <c r="E11" i="71" s="1"/>
  <c r="E10" i="71" s="1"/>
  <c r="E9" i="71" s="1"/>
  <c r="V13" i="71"/>
  <c r="P56" i="71"/>
  <c r="E55" i="71"/>
  <c r="C45" i="71"/>
  <c r="D44" i="71"/>
  <c r="C25" i="71"/>
  <c r="D24" i="71"/>
  <c r="AZ37" i="3"/>
  <c r="AZ462" i="3"/>
  <c r="AA25" i="37"/>
  <c r="S25" i="37"/>
  <c r="AA46" i="21"/>
  <c r="S46" i="21"/>
  <c r="AB37" i="39"/>
  <c r="U37" i="39"/>
  <c r="AC39" i="37"/>
  <c r="W39" i="37"/>
  <c r="AA24" i="35"/>
  <c r="S24" i="35"/>
  <c r="AA27" i="34"/>
  <c r="S27" i="34"/>
  <c r="AC28" i="33"/>
  <c r="W28" i="33"/>
  <c r="W7" i="35"/>
  <c r="AC7" i="35"/>
  <c r="V38" i="35" s="1"/>
  <c r="I38" i="35" s="1"/>
  <c r="U7" i="34"/>
  <c r="AB7" i="34"/>
  <c r="T49" i="34" s="1"/>
  <c r="G49" i="34" s="1"/>
  <c r="W7" i="34"/>
  <c r="AC7" i="34"/>
  <c r="V49" i="34" s="1"/>
  <c r="I49" i="34" s="1"/>
  <c r="J68" i="39"/>
  <c r="I70" i="39"/>
  <c r="S7" i="21"/>
  <c r="AA7" i="21"/>
  <c r="R48" i="21" s="1"/>
  <c r="M11" i="15"/>
  <c r="F11" i="67"/>
  <c r="F11" i="15"/>
  <c r="M11" i="67"/>
  <c r="J10" i="67" s="1"/>
  <c r="C12" i="71"/>
  <c r="D13" i="71"/>
  <c r="U13" i="71" s="1"/>
  <c r="T13" i="71"/>
  <c r="AZ230" i="3"/>
  <c r="AZ216" i="3"/>
  <c r="AC38" i="40"/>
  <c r="W38" i="40"/>
  <c r="AA44" i="39"/>
  <c r="S44" i="39"/>
  <c r="U25" i="37"/>
  <c r="AB25" i="37"/>
  <c r="AZ562" i="3"/>
  <c r="U46" i="21"/>
  <c r="AB46" i="21"/>
  <c r="S37" i="39"/>
  <c r="AA37" i="39"/>
  <c r="W24" i="35"/>
  <c r="AC24" i="35"/>
  <c r="AC27" i="34"/>
  <c r="W27" i="34"/>
  <c r="H14" i="74"/>
  <c r="B7" i="74" s="1"/>
  <c r="D10" i="52"/>
  <c r="D125" i="9"/>
  <c r="D11" i="52" s="1"/>
  <c r="S7" i="36"/>
  <c r="AA7" i="36"/>
  <c r="R36" i="36" s="1"/>
  <c r="U7" i="35"/>
  <c r="AB7" i="35"/>
  <c r="T38" i="35" s="1"/>
  <c r="G38" i="35" s="1"/>
  <c r="S7" i="34"/>
  <c r="AA7" i="34"/>
  <c r="R49" i="34" s="1"/>
  <c r="T8" i="43"/>
  <c r="V8" i="43" s="1"/>
  <c r="T13" i="43"/>
  <c r="V13" i="43" s="1"/>
  <c r="T16" i="43"/>
  <c r="V16" i="43" s="1"/>
  <c r="T10" i="43"/>
  <c r="V10" i="43" s="1"/>
  <c r="T15" i="43"/>
  <c r="V15" i="43" s="1"/>
  <c r="T9" i="43"/>
  <c r="V9" i="43" s="1"/>
  <c r="T12" i="43"/>
  <c r="V12" i="43" s="1"/>
  <c r="T11" i="43"/>
  <c r="V11" i="43" s="1"/>
  <c r="T14" i="43"/>
  <c r="V14" i="43" s="1"/>
  <c r="Q74" i="67"/>
  <c r="Q61" i="67"/>
  <c r="B12" i="71"/>
  <c r="B11" i="71" s="1"/>
  <c r="B10" i="71" s="1"/>
  <c r="B9" i="71" s="1"/>
  <c r="S13" i="71"/>
  <c r="C29" i="71"/>
  <c r="D28" i="71"/>
  <c r="D41" i="71"/>
  <c r="T41" i="71"/>
  <c r="C21" i="71"/>
  <c r="D20" i="71"/>
  <c r="AB44" i="39"/>
  <c r="U44" i="39"/>
  <c r="W36" i="35"/>
  <c r="AC36" i="35"/>
  <c r="U14" i="21"/>
  <c r="AB14" i="21"/>
  <c r="AC37" i="39"/>
  <c r="W37" i="39"/>
  <c r="AC32" i="40"/>
  <c r="W32" i="40"/>
  <c r="AA9" i="34"/>
  <c r="S9" i="34"/>
  <c r="U29" i="21"/>
  <c r="AB29" i="21"/>
  <c r="U28" i="33"/>
  <c r="AB28" i="33"/>
  <c r="B34" i="72"/>
  <c r="D17" i="53"/>
  <c r="B36" i="72" s="1"/>
  <c r="J52" i="37"/>
  <c r="W7" i="36"/>
  <c r="AC7" i="36"/>
  <c r="V36" i="36" s="1"/>
  <c r="I36" i="36" s="1"/>
  <c r="C38" i="43"/>
  <c r="C33" i="43"/>
  <c r="C34" i="43"/>
  <c r="C39" i="43"/>
  <c r="C36" i="43"/>
  <c r="C35" i="43"/>
  <c r="C37" i="43"/>
  <c r="O28" i="43"/>
  <c r="P28" i="43"/>
  <c r="N28" i="43"/>
  <c r="M28" i="43"/>
  <c r="Q56" i="71"/>
  <c r="F55" i="71"/>
  <c r="AC25" i="37"/>
  <c r="W25" i="37"/>
  <c r="AB27" i="34"/>
  <c r="U27" i="34"/>
  <c r="AC29" i="21"/>
  <c r="W29" i="21"/>
  <c r="AZ554" i="3"/>
  <c r="AA7" i="35"/>
  <c r="R38" i="35" s="1"/>
  <c r="S7" i="35"/>
  <c r="U7" i="21"/>
  <c r="AB7" i="21"/>
  <c r="T48" i="21" s="1"/>
  <c r="G48" i="21" s="1"/>
  <c r="U7" i="36"/>
  <c r="AB7" i="36"/>
  <c r="T36" i="36" s="1"/>
  <c r="G36" i="36" s="1"/>
  <c r="W7" i="21"/>
  <c r="AC7" i="21"/>
  <c r="V48" i="21" s="1"/>
  <c r="I48" i="21" s="1"/>
  <c r="Q60" i="67"/>
  <c r="Q73" i="67"/>
  <c r="F59" i="67"/>
  <c r="C16" i="15"/>
  <c r="C16" i="67"/>
  <c r="M29" i="80"/>
  <c r="F43" i="80"/>
  <c r="M17" i="67"/>
  <c r="F31" i="15"/>
  <c r="F7" i="80"/>
  <c r="F59" i="15"/>
  <c r="M17" i="15"/>
  <c r="F71" i="80" l="1"/>
  <c r="C6" i="80"/>
  <c r="C10" i="80" s="1"/>
  <c r="C5" i="80" s="1"/>
  <c r="F50" i="80"/>
  <c r="M7" i="80"/>
  <c r="M7" i="1"/>
  <c r="C24" i="80"/>
  <c r="C53" i="80"/>
  <c r="O8" i="1"/>
  <c r="P8" i="1" s="1"/>
  <c r="G30" i="6"/>
  <c r="G31" i="6" s="1"/>
  <c r="E28" i="6"/>
  <c r="K14" i="1" s="1"/>
  <c r="Q73" i="15"/>
  <c r="J6" i="15"/>
  <c r="J18" i="15" s="1"/>
  <c r="C49" i="15"/>
  <c r="G65" i="40"/>
  <c r="H63" i="40"/>
  <c r="E38" i="35"/>
  <c r="R39" i="35"/>
  <c r="G39" i="43"/>
  <c r="I39" i="43" s="1"/>
  <c r="E39" i="43"/>
  <c r="E48" i="21"/>
  <c r="R49" i="21"/>
  <c r="I52" i="21"/>
  <c r="J52" i="21" s="1"/>
  <c r="Q55" i="71"/>
  <c r="Q54" i="71"/>
  <c r="G34" i="43"/>
  <c r="I34" i="43" s="1"/>
  <c r="E34" i="43"/>
  <c r="K52" i="37"/>
  <c r="B8" i="71"/>
  <c r="B7" i="71" s="1"/>
  <c r="B6" i="71" s="1"/>
  <c r="B5" i="71" s="1"/>
  <c r="S9" i="71"/>
  <c r="C53" i="67"/>
  <c r="C48" i="67" s="1"/>
  <c r="C10" i="67"/>
  <c r="C5" i="67" s="1"/>
  <c r="G53" i="21"/>
  <c r="H53" i="21" s="1"/>
  <c r="G52" i="21"/>
  <c r="H52" i="21" s="1"/>
  <c r="G37" i="43"/>
  <c r="I37" i="43" s="1"/>
  <c r="E37" i="43"/>
  <c r="E35" i="43"/>
  <c r="G35" i="43"/>
  <c r="I35" i="43" s="1"/>
  <c r="G33" i="43"/>
  <c r="I33" i="43" s="1"/>
  <c r="E33" i="43"/>
  <c r="I40" i="36"/>
  <c r="J40" i="36" s="1"/>
  <c r="J18" i="67"/>
  <c r="J5" i="67"/>
  <c r="G40" i="36"/>
  <c r="H40" i="36" s="1"/>
  <c r="G41" i="36"/>
  <c r="H41" i="36" s="1"/>
  <c r="E36" i="43"/>
  <c r="G36" i="43"/>
  <c r="I36" i="43" s="1"/>
  <c r="G38" i="43"/>
  <c r="I38" i="43" s="1"/>
  <c r="E38" i="43"/>
  <c r="D21" i="71"/>
  <c r="T21" i="71"/>
  <c r="D29" i="71"/>
  <c r="T29" i="71"/>
  <c r="G43" i="35"/>
  <c r="H43" i="35" s="1"/>
  <c r="G42" i="35"/>
  <c r="H42" i="35" s="1"/>
  <c r="D12" i="71"/>
  <c r="C11" i="71"/>
  <c r="K68" i="39"/>
  <c r="J70" i="39"/>
  <c r="G54" i="34"/>
  <c r="H54" i="34" s="1"/>
  <c r="G53" i="34"/>
  <c r="H53" i="34" s="1"/>
  <c r="T45" i="71"/>
  <c r="D45" i="71"/>
  <c r="E8" i="71"/>
  <c r="E7" i="71" s="1"/>
  <c r="E6" i="71" s="1"/>
  <c r="E5" i="71" s="1"/>
  <c r="V9" i="71"/>
  <c r="R50" i="34"/>
  <c r="E49" i="34"/>
  <c r="P54" i="71"/>
  <c r="P55" i="71"/>
  <c r="E36" i="36"/>
  <c r="R37" i="36"/>
  <c r="C10" i="15"/>
  <c r="C5" i="15" s="1"/>
  <c r="C53" i="15"/>
  <c r="I53" i="34"/>
  <c r="J53" i="34" s="1"/>
  <c r="I54" i="34"/>
  <c r="J54" i="34" s="1"/>
  <c r="I42" i="35"/>
  <c r="J42" i="35" s="1"/>
  <c r="I43" i="35"/>
  <c r="J43" i="35" s="1"/>
  <c r="T25" i="71"/>
  <c r="D25" i="71"/>
  <c r="F22" i="68"/>
  <c r="F22" i="69"/>
  <c r="F24" i="67"/>
  <c r="C24" i="67" s="1"/>
  <c r="F22" i="11"/>
  <c r="F24" i="15"/>
  <c r="C24" i="15" s="1"/>
  <c r="F25" i="12"/>
  <c r="F31" i="80"/>
  <c r="F59" i="80"/>
  <c r="C16" i="80"/>
  <c r="M17" i="80"/>
  <c r="J6" i="80" l="1"/>
  <c r="C49" i="80"/>
  <c r="C48" i="80" s="1"/>
  <c r="C32" i="80"/>
  <c r="C33" i="80"/>
  <c r="O7" i="1"/>
  <c r="P7" i="1" s="1"/>
  <c r="C38" i="80"/>
  <c r="C48" i="15"/>
  <c r="C66" i="15" s="1"/>
  <c r="J10" i="15"/>
  <c r="J5" i="15" s="1"/>
  <c r="H65" i="40"/>
  <c r="I63" i="40"/>
  <c r="C26" i="69"/>
  <c r="D22" i="69" s="1"/>
  <c r="C44" i="69"/>
  <c r="D41" i="69" s="1"/>
  <c r="L68" i="39"/>
  <c r="K70" i="39"/>
  <c r="L52" i="37"/>
  <c r="M52" i="37" s="1"/>
  <c r="N52" i="37" s="1"/>
  <c r="O52" i="37" s="1"/>
  <c r="F7" i="37"/>
  <c r="C37" i="36"/>
  <c r="B2" i="36" s="1"/>
  <c r="B3" i="36" s="1"/>
  <c r="C36" i="36"/>
  <c r="E40" i="36"/>
  <c r="F40" i="36" s="1"/>
  <c r="E41" i="36"/>
  <c r="F41" i="36" s="1"/>
  <c r="M14" i="1"/>
  <c r="I41" i="36"/>
  <c r="J41" i="36" s="1"/>
  <c r="C38" i="67"/>
  <c r="C48" i="21"/>
  <c r="C49" i="21"/>
  <c r="C38" i="35"/>
  <c r="C39" i="35"/>
  <c r="B2" i="35" s="1"/>
  <c r="B3" i="35" s="1"/>
  <c r="C38" i="15"/>
  <c r="E53" i="34"/>
  <c r="F53" i="34" s="1"/>
  <c r="E54" i="34"/>
  <c r="F54" i="34" s="1"/>
  <c r="C10" i="71"/>
  <c r="D11" i="71"/>
  <c r="J26" i="67"/>
  <c r="J29" i="67" s="1"/>
  <c r="J24" i="67"/>
  <c r="C66" i="67"/>
  <c r="C60" i="67"/>
  <c r="H7" i="37"/>
  <c r="E52" i="21"/>
  <c r="F52" i="21" s="1"/>
  <c r="E53" i="21"/>
  <c r="F53" i="21" s="1"/>
  <c r="E42" i="35"/>
  <c r="F42" i="35" s="1"/>
  <c r="E43" i="35"/>
  <c r="F43" i="35" s="1"/>
  <c r="C50" i="34"/>
  <c r="C49" i="34"/>
  <c r="J7" i="37"/>
  <c r="I53" i="21"/>
  <c r="J53" i="21" s="1"/>
  <c r="C66" i="80" l="1"/>
  <c r="C60" i="80"/>
  <c r="J18" i="80"/>
  <c r="J10" i="80"/>
  <c r="J5" i="80" s="1"/>
  <c r="C60" i="15"/>
  <c r="J24" i="15"/>
  <c r="J26" i="15"/>
  <c r="I65" i="40"/>
  <c r="J63" i="40"/>
  <c r="S7" i="37"/>
  <c r="AA7" i="37"/>
  <c r="R42" i="37" s="1"/>
  <c r="W7" i="37"/>
  <c r="AC7" i="37"/>
  <c r="V42" i="37" s="1"/>
  <c r="I42" i="37" s="1"/>
  <c r="O14" i="1"/>
  <c r="U7" i="37"/>
  <c r="AB7" i="37"/>
  <c r="T42" i="37" s="1"/>
  <c r="G42" i="37" s="1"/>
  <c r="C9" i="71"/>
  <c r="D10" i="71"/>
  <c r="M68" i="39"/>
  <c r="L70" i="39"/>
  <c r="J26" i="80" l="1"/>
  <c r="J24" i="80"/>
  <c r="K63" i="40"/>
  <c r="J65" i="40"/>
  <c r="E42" i="37"/>
  <c r="R43" i="37"/>
  <c r="P14" i="1"/>
  <c r="C8" i="71"/>
  <c r="D9" i="71"/>
  <c r="U9" i="71" s="1"/>
  <c r="T9" i="71"/>
  <c r="N68" i="39"/>
  <c r="M70" i="39"/>
  <c r="G47" i="37"/>
  <c r="H47" i="37" s="1"/>
  <c r="G46" i="37"/>
  <c r="H46" i="37" s="1"/>
  <c r="I47" i="37"/>
  <c r="J47" i="37" s="1"/>
  <c r="I46" i="37"/>
  <c r="J46" i="37" s="1"/>
  <c r="K65" i="40" l="1"/>
  <c r="L63" i="40"/>
  <c r="E46" i="37"/>
  <c r="F46" i="37" s="1"/>
  <c r="E47" i="37"/>
  <c r="F47" i="37" s="1"/>
  <c r="O68" i="39"/>
  <c r="O70" i="39" s="1"/>
  <c r="H7" i="39" s="1"/>
  <c r="N70" i="39"/>
  <c r="C7" i="71"/>
  <c r="D8" i="71"/>
  <c r="C42" i="37"/>
  <c r="C43" i="37"/>
  <c r="M63" i="40" l="1"/>
  <c r="L65" i="40"/>
  <c r="C6" i="71"/>
  <c r="D7" i="71"/>
  <c r="J7" i="39"/>
  <c r="U7" i="39"/>
  <c r="AB7" i="39"/>
  <c r="F7" i="39"/>
  <c r="N63" i="40" l="1"/>
  <c r="M65" i="40"/>
  <c r="W7" i="39"/>
  <c r="AC7" i="39"/>
  <c r="S7" i="39"/>
  <c r="AA7" i="39"/>
  <c r="C5" i="71"/>
  <c r="D6" i="71"/>
  <c r="F7" i="40" l="1"/>
  <c r="O63" i="40"/>
  <c r="O65" i="40" s="1"/>
  <c r="N65" i="40"/>
  <c r="D5" i="71"/>
  <c r="M20" i="43"/>
  <c r="J7" i="40" l="1"/>
  <c r="H7" i="40"/>
  <c r="S7" i="40"/>
  <c r="AA7" i="40"/>
  <c r="R42" i="40" s="1"/>
  <c r="R43" i="40" l="1"/>
  <c r="E42" i="40"/>
  <c r="U7" i="40"/>
  <c r="AB7" i="40"/>
  <c r="T42" i="40" s="1"/>
  <c r="G42" i="40" s="1"/>
  <c r="W7" i="40"/>
  <c r="AC7" i="40"/>
  <c r="V42" i="40" s="1"/>
  <c r="I42" i="40" s="1"/>
  <c r="G46" i="40" l="1"/>
  <c r="H46" i="40" s="1"/>
  <c r="G47" i="40"/>
  <c r="H47" i="40" s="1"/>
  <c r="I46" i="40"/>
  <c r="J46" i="40" s="1"/>
  <c r="I47" i="40"/>
  <c r="J47" i="40" s="1"/>
  <c r="E46" i="40"/>
  <c r="F46" i="40" s="1"/>
  <c r="E47" i="40"/>
  <c r="F47" i="40" s="1"/>
  <c r="C42" i="40"/>
  <c r="C43" i="40"/>
  <c r="B58" i="40" l="1"/>
  <c r="B57" i="40"/>
  <c r="B56" i="40"/>
  <c r="B52" i="40"/>
  <c r="F52" i="40" s="1"/>
  <c r="B59" i="40"/>
  <c r="B60" i="40"/>
  <c r="B53" i="40"/>
  <c r="F53" i="40" s="1"/>
  <c r="B55" i="40"/>
  <c r="F55" i="40" s="1"/>
  <c r="B51" i="40"/>
  <c r="B54" i="40"/>
  <c r="F54" i="40" s="1"/>
  <c r="J5" i="3"/>
  <c r="F19" i="6" s="1"/>
  <c r="E19" i="6" s="1"/>
  <c r="BB14" i="3"/>
  <c r="BA14" i="3" s="1"/>
  <c r="C7" i="12" l="1"/>
  <c r="C8" i="12" s="1"/>
  <c r="E32" i="6"/>
  <c r="K6" i="1"/>
  <c r="AP6" i="1" s="1"/>
  <c r="C36" i="69" s="1"/>
  <c r="BA5" i="3"/>
  <c r="BB5" i="3"/>
  <c r="BO14" i="3"/>
  <c r="AH5" i="3"/>
  <c r="AC14" i="3"/>
  <c r="M6" i="1" l="1"/>
  <c r="H16" i="1"/>
  <c r="Q16" i="1"/>
  <c r="G16" i="1"/>
  <c r="C34" i="69"/>
  <c r="E10" i="6"/>
  <c r="E8" i="6"/>
  <c r="E12" i="6"/>
  <c r="E14" i="6"/>
  <c r="E5" i="6"/>
  <c r="E11" i="6"/>
  <c r="E13" i="6"/>
  <c r="E15" i="6"/>
  <c r="AC5" i="3"/>
  <c r="G14" i="3"/>
  <c r="BL14" i="3"/>
  <c r="BO5" i="3"/>
  <c r="F29" i="6" s="1"/>
  <c r="I4" i="6"/>
  <c r="G3" i="43" l="1"/>
  <c r="S6" i="43" s="1"/>
  <c r="T6" i="43" s="1"/>
  <c r="V6" i="43" s="1"/>
  <c r="C11" i="39"/>
  <c r="H10" i="39"/>
  <c r="F10" i="39"/>
  <c r="J10" i="40"/>
  <c r="J10" i="39"/>
  <c r="H10" i="40"/>
  <c r="F10" i="40"/>
  <c r="F28" i="12"/>
  <c r="F27" i="69"/>
  <c r="F27" i="68"/>
  <c r="F27" i="11"/>
  <c r="C35" i="69"/>
  <c r="C38" i="69"/>
  <c r="O6" i="1"/>
  <c r="M16" i="1"/>
  <c r="N16" i="1" s="1"/>
  <c r="B21" i="1" s="1"/>
  <c r="F30" i="6"/>
  <c r="E29" i="6"/>
  <c r="E65" i="39"/>
  <c r="E60" i="40"/>
  <c r="F60" i="40" s="1"/>
  <c r="E64" i="39"/>
  <c r="E59" i="40"/>
  <c r="F59" i="40" s="1"/>
  <c r="BL5" i="3"/>
  <c r="AZ14" i="3"/>
  <c r="AZ5" i="3" s="1"/>
  <c r="E58" i="40"/>
  <c r="F58" i="40" s="1"/>
  <c r="E63" i="39"/>
  <c r="E62" i="39"/>
  <c r="E57" i="40"/>
  <c r="F57" i="40" s="1"/>
  <c r="Z11" i="43"/>
  <c r="Z13" i="43" s="1"/>
  <c r="N104" i="46"/>
  <c r="AE11" i="43"/>
  <c r="AE13" i="43" s="1"/>
  <c r="AA11" i="43"/>
  <c r="AA13" i="43" s="1"/>
  <c r="G101" i="43"/>
  <c r="I101" i="43"/>
  <c r="AC11" i="43"/>
  <c r="AC13" i="43" s="1"/>
  <c r="AJ11" i="43"/>
  <c r="AJ13" i="43" s="1"/>
  <c r="AI11" i="43"/>
  <c r="AI13" i="43" s="1"/>
  <c r="K101" i="43"/>
  <c r="G5" i="3"/>
  <c r="B3" i="3" s="1"/>
  <c r="E14" i="3" s="1"/>
  <c r="E61" i="39"/>
  <c r="E56" i="40"/>
  <c r="F56" i="40" s="1"/>
  <c r="E16" i="6"/>
  <c r="E56" i="39"/>
  <c r="F27" i="6"/>
  <c r="E51" i="40"/>
  <c r="F51" i="40" s="1"/>
  <c r="D9" i="11"/>
  <c r="C9" i="11" s="1"/>
  <c r="D19" i="12"/>
  <c r="C19" i="12" s="1"/>
  <c r="D9" i="69"/>
  <c r="D9" i="68"/>
  <c r="B113" i="43" l="1"/>
  <c r="G118" i="43" s="1"/>
  <c r="H118" i="43" s="1"/>
  <c r="Z7" i="43"/>
  <c r="Y11" i="43"/>
  <c r="Y13" i="43" s="1"/>
  <c r="S2" i="43"/>
  <c r="T2" i="43" s="1"/>
  <c r="V2" i="43" s="1"/>
  <c r="F22" i="43"/>
  <c r="E22" i="43"/>
  <c r="L101" i="43"/>
  <c r="L107" i="43" s="1"/>
  <c r="H22" i="43"/>
  <c r="S5" i="43"/>
  <c r="T5" i="43" s="1"/>
  <c r="V5" i="43" s="1"/>
  <c r="H101" i="43"/>
  <c r="AG11" i="43"/>
  <c r="AG13" i="43" s="1"/>
  <c r="S3" i="43"/>
  <c r="T3" i="43" s="1"/>
  <c r="V3" i="43" s="1"/>
  <c r="M101" i="43"/>
  <c r="M106" i="43" s="1"/>
  <c r="S7" i="43"/>
  <c r="T7" i="43" s="1"/>
  <c r="V7" i="43" s="1"/>
  <c r="N101" i="43"/>
  <c r="N106" i="43" s="1"/>
  <c r="F101" i="43"/>
  <c r="F105" i="43" s="1"/>
  <c r="G22" i="43"/>
  <c r="AF11" i="43"/>
  <c r="AF13" i="43" s="1"/>
  <c r="S4" i="43"/>
  <c r="T4" i="43" s="1"/>
  <c r="V4" i="43" s="1"/>
  <c r="C23" i="43"/>
  <c r="C21" i="43" s="1"/>
  <c r="D101" i="43"/>
  <c r="D106" i="43" s="1"/>
  <c r="AB11" i="43"/>
  <c r="AB13" i="43" s="1"/>
  <c r="J101" i="43"/>
  <c r="J105" i="43" s="1"/>
  <c r="J22" i="43"/>
  <c r="E101" i="43"/>
  <c r="E106" i="43" s="1"/>
  <c r="C101" i="43"/>
  <c r="C104" i="43" s="1"/>
  <c r="AH11" i="43"/>
  <c r="AH13" i="43" s="1"/>
  <c r="AD11" i="43"/>
  <c r="AD13" i="43" s="1"/>
  <c r="H11" i="39"/>
  <c r="F11" i="39"/>
  <c r="J11" i="39"/>
  <c r="B23" i="1"/>
  <c r="B24" i="1"/>
  <c r="C44" i="68"/>
  <c r="D41" i="68" s="1"/>
  <c r="C44" i="11"/>
  <c r="D41" i="11" s="1"/>
  <c r="C29" i="69"/>
  <c r="D27" i="69" s="1"/>
  <c r="C47" i="69"/>
  <c r="D45" i="69" s="1"/>
  <c r="W10" i="39"/>
  <c r="AC10" i="39"/>
  <c r="W10" i="40"/>
  <c r="AC10" i="40"/>
  <c r="L16" i="1"/>
  <c r="C29" i="11"/>
  <c r="D27" i="11" s="1"/>
  <c r="C47" i="11"/>
  <c r="D45" i="11" s="1"/>
  <c r="S10" i="40"/>
  <c r="AA10" i="40"/>
  <c r="S10" i="39"/>
  <c r="AA10" i="39"/>
  <c r="P6" i="1"/>
  <c r="O16" i="1"/>
  <c r="C29" i="68"/>
  <c r="D27" i="68" s="1"/>
  <c r="C47" i="68"/>
  <c r="D45" i="68" s="1"/>
  <c r="AB10" i="40"/>
  <c r="U10" i="40"/>
  <c r="AB10" i="39"/>
  <c r="U10" i="39"/>
  <c r="E3" i="6"/>
  <c r="AY6" i="3"/>
  <c r="C9" i="68"/>
  <c r="C29" i="43"/>
  <c r="D102" i="43"/>
  <c r="J106" i="43"/>
  <c r="C9" i="69"/>
  <c r="F31" i="6"/>
  <c r="E27" i="6"/>
  <c r="I116" i="43"/>
  <c r="J116" i="43" s="1"/>
  <c r="K116" i="43" s="1"/>
  <c r="L116" i="43" s="1"/>
  <c r="M116" i="43" s="1"/>
  <c r="B117" i="43"/>
  <c r="C117" i="43" s="1"/>
  <c r="I115" i="43"/>
  <c r="J115" i="43" s="1"/>
  <c r="K115" i="43" s="1"/>
  <c r="L115" i="43" s="1"/>
  <c r="M115" i="43" s="1"/>
  <c r="K102" i="43"/>
  <c r="K104" i="43"/>
  <c r="K103" i="43"/>
  <c r="K109" i="43"/>
  <c r="K106" i="43"/>
  <c r="K107" i="43"/>
  <c r="K105" i="43"/>
  <c r="I106" i="43"/>
  <c r="I102" i="43"/>
  <c r="I105" i="43"/>
  <c r="I107" i="43"/>
  <c r="I103" i="43"/>
  <c r="I109" i="43"/>
  <c r="I104" i="43"/>
  <c r="K15" i="1"/>
  <c r="K16" i="1" s="1"/>
  <c r="L19" i="6"/>
  <c r="L27" i="6" s="1"/>
  <c r="E30" i="6"/>
  <c r="N107" i="43"/>
  <c r="E66" i="39"/>
  <c r="E172" i="3"/>
  <c r="E84" i="3"/>
  <c r="E384" i="3"/>
  <c r="E401" i="3"/>
  <c r="E280" i="3"/>
  <c r="E535" i="3"/>
  <c r="E382" i="3"/>
  <c r="E361" i="3"/>
  <c r="E461" i="3"/>
  <c r="E262" i="3"/>
  <c r="E379" i="3"/>
  <c r="E420" i="3"/>
  <c r="E452" i="3"/>
  <c r="E414" i="3"/>
  <c r="E163" i="3"/>
  <c r="X6" i="3"/>
  <c r="E565" i="3"/>
  <c r="E402" i="3"/>
  <c r="E528" i="3"/>
  <c r="E539" i="3"/>
  <c r="E368" i="3"/>
  <c r="E173" i="3"/>
  <c r="E432" i="3"/>
  <c r="E404" i="3"/>
  <c r="E295" i="3"/>
  <c r="E217" i="3"/>
  <c r="E212" i="3"/>
  <c r="E339" i="3"/>
  <c r="E369" i="3"/>
  <c r="E268" i="3"/>
  <c r="E570" i="3"/>
  <c r="E151" i="3"/>
  <c r="E191" i="3"/>
  <c r="E563" i="3"/>
  <c r="S6" i="3"/>
  <c r="E464" i="3"/>
  <c r="E410" i="3"/>
  <c r="E146" i="3"/>
  <c r="E526" i="3"/>
  <c r="E311" i="3"/>
  <c r="E227" i="3"/>
  <c r="E245" i="3"/>
  <c r="E175" i="3"/>
  <c r="E397" i="3"/>
  <c r="E236" i="3"/>
  <c r="E474" i="3"/>
  <c r="E434" i="3"/>
  <c r="E209" i="3"/>
  <c r="E231" i="3"/>
  <c r="E219" i="3"/>
  <c r="E246" i="3"/>
  <c r="E388" i="3"/>
  <c r="E303" i="3"/>
  <c r="E550" i="3"/>
  <c r="E337" i="3"/>
  <c r="E196" i="3"/>
  <c r="E576" i="3"/>
  <c r="E367" i="3"/>
  <c r="E19" i="3"/>
  <c r="E202" i="3"/>
  <c r="E23" i="3"/>
  <c r="E176" i="3"/>
  <c r="E322" i="3"/>
  <c r="M6" i="3"/>
  <c r="E568" i="3"/>
  <c r="E188" i="3"/>
  <c r="E213" i="3"/>
  <c r="AI6" i="3"/>
  <c r="E89" i="3"/>
  <c r="AT6" i="3"/>
  <c r="E424" i="3"/>
  <c r="E542" i="3"/>
  <c r="E167" i="3"/>
  <c r="E553" i="3"/>
  <c r="E514" i="3"/>
  <c r="E143" i="3"/>
  <c r="E159" i="3"/>
  <c r="E304" i="3"/>
  <c r="E385" i="3"/>
  <c r="E148" i="3"/>
  <c r="AG6" i="3"/>
  <c r="E547" i="3"/>
  <c r="E121" i="3"/>
  <c r="E334" i="3"/>
  <c r="E54" i="3"/>
  <c r="E39" i="3"/>
  <c r="E456" i="3"/>
  <c r="E46" i="3"/>
  <c r="E399" i="3"/>
  <c r="E305" i="3"/>
  <c r="E423" i="3"/>
  <c r="E395" i="3"/>
  <c r="E555" i="3"/>
  <c r="E296" i="3"/>
  <c r="E489" i="3"/>
  <c r="E319" i="3"/>
  <c r="E82" i="3"/>
  <c r="N6" i="3"/>
  <c r="E445" i="3"/>
  <c r="E403" i="3"/>
  <c r="E463" i="3"/>
  <c r="E307" i="3"/>
  <c r="E125" i="3"/>
  <c r="E516" i="3"/>
  <c r="E328" i="3"/>
  <c r="E136" i="3"/>
  <c r="E585" i="3"/>
  <c r="E558" i="3"/>
  <c r="E27" i="3"/>
  <c r="E331" i="3"/>
  <c r="E366" i="3"/>
  <c r="E69" i="3"/>
  <c r="P6" i="3"/>
  <c r="E211" i="3"/>
  <c r="E545" i="3"/>
  <c r="E252" i="3"/>
  <c r="E374" i="3"/>
  <c r="E187" i="3"/>
  <c r="E96" i="3"/>
  <c r="E251" i="3"/>
  <c r="E359" i="3"/>
  <c r="E286" i="3"/>
  <c r="E13" i="3"/>
  <c r="E281" i="3"/>
  <c r="E98" i="3"/>
  <c r="Y6" i="3"/>
  <c r="E439" i="3"/>
  <c r="E438" i="3"/>
  <c r="E131" i="3"/>
  <c r="E471" i="3"/>
  <c r="E551" i="3"/>
  <c r="E122" i="3"/>
  <c r="E546" i="3"/>
  <c r="E109" i="3"/>
  <c r="E321" i="3"/>
  <c r="E458" i="3"/>
  <c r="E520" i="3"/>
  <c r="E372" i="3"/>
  <c r="E522" i="3"/>
  <c r="E326" i="3"/>
  <c r="E130" i="3"/>
  <c r="E512" i="3"/>
  <c r="E73" i="3"/>
  <c r="E42" i="3"/>
  <c r="E66" i="3"/>
  <c r="E509" i="3"/>
  <c r="E133" i="3"/>
  <c r="E566" i="3"/>
  <c r="E242" i="3"/>
  <c r="E351" i="3"/>
  <c r="E114" i="3"/>
  <c r="AO6" i="3"/>
  <c r="E182" i="3"/>
  <c r="E501" i="3"/>
  <c r="E117" i="3"/>
  <c r="E416" i="3"/>
  <c r="E240" i="3"/>
  <c r="E129" i="3"/>
  <c r="AF6" i="3"/>
  <c r="E533" i="3"/>
  <c r="E71" i="3"/>
  <c r="E72" i="3"/>
  <c r="E294" i="3"/>
  <c r="E104" i="3"/>
  <c r="E354" i="3"/>
  <c r="E204" i="3"/>
  <c r="E155" i="3"/>
  <c r="E574" i="3"/>
  <c r="AA6" i="3"/>
  <c r="E239" i="3"/>
  <c r="E467" i="3"/>
  <c r="V6" i="3"/>
  <c r="E506" i="3"/>
  <c r="E88" i="3"/>
  <c r="E94" i="3"/>
  <c r="E220" i="3"/>
  <c r="AJ6" i="3"/>
  <c r="E523" i="3"/>
  <c r="E508" i="3"/>
  <c r="E269" i="3"/>
  <c r="E515" i="3"/>
  <c r="E581" i="3"/>
  <c r="E162" i="3"/>
  <c r="E572" i="3"/>
  <c r="E293" i="3"/>
  <c r="E165" i="3"/>
  <c r="E505" i="3"/>
  <c r="E377" i="3"/>
  <c r="E314" i="3"/>
  <c r="E519" i="3"/>
  <c r="E571" i="3"/>
  <c r="E226" i="3"/>
  <c r="E275" i="3"/>
  <c r="E80" i="3"/>
  <c r="AK6" i="3"/>
  <c r="Q6" i="3"/>
  <c r="E496" i="3"/>
  <c r="E363" i="3"/>
  <c r="E248" i="3"/>
  <c r="E222" i="3"/>
  <c r="E135" i="3"/>
  <c r="E376" i="3"/>
  <c r="E208" i="3"/>
  <c r="E127" i="3"/>
  <c r="E390" i="3"/>
  <c r="U6" i="3"/>
  <c r="E92" i="3"/>
  <c r="E64" i="3"/>
  <c r="E290" i="3"/>
  <c r="E422" i="3"/>
  <c r="E57" i="3"/>
  <c r="E75" i="3"/>
  <c r="E49" i="3"/>
  <c r="E183" i="3"/>
  <c r="E224" i="3"/>
  <c r="E344" i="3"/>
  <c r="E139" i="3"/>
  <c r="E462" i="3"/>
  <c r="E250" i="3"/>
  <c r="E495" i="3"/>
  <c r="E532" i="3"/>
  <c r="E537" i="3"/>
  <c r="E348" i="3"/>
  <c r="E347" i="3"/>
  <c r="E302" i="3"/>
  <c r="E477" i="3"/>
  <c r="E273" i="3"/>
  <c r="E285" i="3"/>
  <c r="E177" i="3"/>
  <c r="E413" i="3"/>
  <c r="E346" i="3"/>
  <c r="E324" i="3"/>
  <c r="E158" i="3"/>
  <c r="E470" i="3"/>
  <c r="E480" i="3"/>
  <c r="E60" i="3"/>
  <c r="E141" i="3"/>
  <c r="E256" i="3"/>
  <c r="E341" i="3"/>
  <c r="E552" i="3"/>
  <c r="E43" i="3"/>
  <c r="E530" i="3"/>
  <c r="E441" i="3"/>
  <c r="E411" i="3"/>
  <c r="E140" i="3"/>
  <c r="E228" i="3"/>
  <c r="E124" i="3"/>
  <c r="E229" i="3"/>
  <c r="E548" i="3"/>
  <c r="E186" i="3"/>
  <c r="E567" i="3"/>
  <c r="E476" i="3"/>
  <c r="E338" i="3"/>
  <c r="E483" i="3"/>
  <c r="E342" i="3"/>
  <c r="E230" i="3"/>
  <c r="E37" i="3"/>
  <c r="E584" i="3"/>
  <c r="E199" i="3"/>
  <c r="E276" i="3"/>
  <c r="E99" i="3"/>
  <c r="E272" i="3"/>
  <c r="E253" i="3"/>
  <c r="E150" i="3"/>
  <c r="E370" i="3"/>
  <c r="E330" i="3"/>
  <c r="E241" i="3"/>
  <c r="E51" i="3"/>
  <c r="E427" i="3"/>
  <c r="E223" i="3"/>
  <c r="E453" i="3"/>
  <c r="AM6" i="3"/>
  <c r="E573" i="3"/>
  <c r="E504" i="3"/>
  <c r="E22" i="3"/>
  <c r="E169" i="3"/>
  <c r="E437" i="3"/>
  <c r="E261" i="3"/>
  <c r="E333" i="3"/>
  <c r="E392" i="3"/>
  <c r="E524" i="3"/>
  <c r="E134" i="3"/>
  <c r="E469" i="3"/>
  <c r="E454" i="3"/>
  <c r="E362" i="3"/>
  <c r="E371" i="3"/>
  <c r="E513" i="3"/>
  <c r="E459" i="3"/>
  <c r="E325" i="3"/>
  <c r="E149" i="3"/>
  <c r="E417" i="3"/>
  <c r="E81" i="3"/>
  <c r="E126" i="3"/>
  <c r="E178" i="3"/>
  <c r="E254" i="3"/>
  <c r="E115" i="3"/>
  <c r="E24" i="3"/>
  <c r="E313" i="3"/>
  <c r="E297" i="3"/>
  <c r="E234" i="3"/>
  <c r="E218" i="3"/>
  <c r="E335" i="3"/>
  <c r="E405" i="3"/>
  <c r="E435" i="3"/>
  <c r="E315" i="3"/>
  <c r="E267" i="3"/>
  <c r="E578" i="3"/>
  <c r="E41" i="3"/>
  <c r="E485" i="3"/>
  <c r="E358" i="3"/>
  <c r="E237" i="3"/>
  <c r="E549" i="3"/>
  <c r="E443" i="3"/>
  <c r="E210" i="3"/>
  <c r="E301" i="3"/>
  <c r="E70" i="3"/>
  <c r="E61" i="3"/>
  <c r="E25" i="3"/>
  <c r="E34" i="3"/>
  <c r="E207" i="3"/>
  <c r="E203" i="3"/>
  <c r="E87" i="3"/>
  <c r="E529" i="3"/>
  <c r="E375" i="3"/>
  <c r="E343" i="3"/>
  <c r="E317" i="3"/>
  <c r="E493" i="3"/>
  <c r="E259" i="3"/>
  <c r="E113" i="3"/>
  <c r="T6" i="3"/>
  <c r="E394" i="3"/>
  <c r="E323" i="3"/>
  <c r="E440" i="3"/>
  <c r="E457" i="3"/>
  <c r="E197" i="3"/>
  <c r="E29" i="3"/>
  <c r="E486" i="3"/>
  <c r="E521" i="3"/>
  <c r="E329" i="3"/>
  <c r="E487" i="3"/>
  <c r="AE6" i="3"/>
  <c r="E538" i="3"/>
  <c r="E540" i="3"/>
  <c r="E112" i="3"/>
  <c r="O6" i="3"/>
  <c r="E45" i="3"/>
  <c r="E449" i="3"/>
  <c r="E95" i="3"/>
  <c r="E59" i="3"/>
  <c r="E33" i="3"/>
  <c r="E481" i="3"/>
  <c r="E119" i="3"/>
  <c r="E289" i="3"/>
  <c r="R6" i="3"/>
  <c r="E171" i="3"/>
  <c r="E396" i="3"/>
  <c r="E503" i="3"/>
  <c r="E455" i="3"/>
  <c r="E525" i="3"/>
  <c r="E274" i="3"/>
  <c r="E154" i="3"/>
  <c r="E507" i="3"/>
  <c r="L6" i="3"/>
  <c r="AQ6" i="3"/>
  <c r="E101" i="3"/>
  <c r="E91" i="3"/>
  <c r="E541" i="3"/>
  <c r="E26" i="3"/>
  <c r="AL6" i="3"/>
  <c r="E310" i="3"/>
  <c r="E21" i="3"/>
  <c r="E383" i="3"/>
  <c r="E386" i="3"/>
  <c r="E564" i="3"/>
  <c r="E36" i="3"/>
  <c r="E189" i="3"/>
  <c r="E106" i="3"/>
  <c r="E67" i="3"/>
  <c r="E336" i="3"/>
  <c r="E128" i="3"/>
  <c r="E174" i="3"/>
  <c r="E499" i="3"/>
  <c r="E332" i="3"/>
  <c r="E179" i="3"/>
  <c r="E398" i="3"/>
  <c r="E412" i="3"/>
  <c r="E147" i="3"/>
  <c r="E247" i="3"/>
  <c r="E193" i="3"/>
  <c r="E306" i="3"/>
  <c r="E518" i="3"/>
  <c r="E166" i="3"/>
  <c r="E77" i="3"/>
  <c r="E263" i="3"/>
  <c r="E85" i="3"/>
  <c r="E444" i="3"/>
  <c r="E164" i="3"/>
  <c r="E156" i="3"/>
  <c r="E44" i="3"/>
  <c r="E421" i="3"/>
  <c r="E318" i="3"/>
  <c r="E308" i="3"/>
  <c r="E466" i="3"/>
  <c r="E580" i="3"/>
  <c r="E260" i="3"/>
  <c r="E582" i="3"/>
  <c r="E428" i="3"/>
  <c r="E400" i="3"/>
  <c r="E431" i="3"/>
  <c r="E562" i="3"/>
  <c r="E78" i="3"/>
  <c r="E205" i="3"/>
  <c r="E517" i="3"/>
  <c r="E65" i="3"/>
  <c r="E380" i="3"/>
  <c r="E40" i="3"/>
  <c r="E278" i="3"/>
  <c r="AS6" i="3"/>
  <c r="E586" i="3"/>
  <c r="E433" i="3"/>
  <c r="E35" i="3"/>
  <c r="E350" i="3"/>
  <c r="E86" i="3"/>
  <c r="E389" i="3"/>
  <c r="E288" i="3"/>
  <c r="E38" i="3"/>
  <c r="E340" i="3"/>
  <c r="E353" i="3"/>
  <c r="E575" i="3"/>
  <c r="E587" i="3"/>
  <c r="E225" i="3"/>
  <c r="E79" i="3"/>
  <c r="E381" i="3"/>
  <c r="E31" i="3"/>
  <c r="E93" i="3"/>
  <c r="E365" i="3"/>
  <c r="E472" i="3"/>
  <c r="E349" i="3"/>
  <c r="E153" i="3"/>
  <c r="E120" i="3"/>
  <c r="E232" i="3"/>
  <c r="E430" i="3"/>
  <c r="E76" i="3"/>
  <c r="E352" i="3"/>
  <c r="W6" i="3"/>
  <c r="E473" i="3"/>
  <c r="E123" i="3"/>
  <c r="E510" i="3"/>
  <c r="E271" i="3"/>
  <c r="E465" i="3"/>
  <c r="E198" i="3"/>
  <c r="E409" i="3"/>
  <c r="E144" i="3"/>
  <c r="E460" i="3"/>
  <c r="E320" i="3"/>
  <c r="E284" i="3"/>
  <c r="E419" i="3"/>
  <c r="E20" i="3"/>
  <c r="E107" i="3"/>
  <c r="E243" i="3"/>
  <c r="E355" i="3"/>
  <c r="E569" i="3"/>
  <c r="E312" i="3"/>
  <c r="E102" i="3"/>
  <c r="E451" i="3"/>
  <c r="E32" i="3"/>
  <c r="E201" i="3"/>
  <c r="E108" i="3"/>
  <c r="E170" i="3"/>
  <c r="E50" i="3"/>
  <c r="E561" i="3"/>
  <c r="E181" i="3"/>
  <c r="E105" i="3"/>
  <c r="E484" i="3"/>
  <c r="E255" i="3"/>
  <c r="E282" i="3"/>
  <c r="E235" i="3"/>
  <c r="E161" i="3"/>
  <c r="E298" i="3"/>
  <c r="E83" i="3"/>
  <c r="E62" i="3"/>
  <c r="E292" i="3"/>
  <c r="E137" i="3"/>
  <c r="E478" i="3"/>
  <c r="E138" i="3"/>
  <c r="E364" i="3"/>
  <c r="E258" i="3"/>
  <c r="E425" i="3"/>
  <c r="E16" i="3"/>
  <c r="E426" i="3"/>
  <c r="E74" i="3"/>
  <c r="E345" i="3"/>
  <c r="AN6" i="3"/>
  <c r="E195" i="3"/>
  <c r="E257" i="3"/>
  <c r="E265" i="3"/>
  <c r="E534" i="3"/>
  <c r="E554" i="3"/>
  <c r="E214" i="3"/>
  <c r="E160" i="3"/>
  <c r="E63" i="3"/>
  <c r="E233" i="3"/>
  <c r="E30" i="3"/>
  <c r="E287" i="3"/>
  <c r="E356" i="3"/>
  <c r="E316" i="3"/>
  <c r="E447" i="3"/>
  <c r="E527" i="3"/>
  <c r="E488" i="3"/>
  <c r="E557" i="3"/>
  <c r="E407" i="3"/>
  <c r="E168" i="3"/>
  <c r="E111" i="3"/>
  <c r="E18" i="3"/>
  <c r="E387" i="3"/>
  <c r="E200" i="3"/>
  <c r="E97" i="3"/>
  <c r="E490" i="3"/>
  <c r="E216" i="3"/>
  <c r="E511" i="3"/>
  <c r="E103" i="3"/>
  <c r="E543" i="3"/>
  <c r="E277" i="3"/>
  <c r="AB6" i="3"/>
  <c r="E142" i="3"/>
  <c r="E291" i="3"/>
  <c r="E221" i="3"/>
  <c r="E48" i="3"/>
  <c r="E58" i="3"/>
  <c r="E415" i="3"/>
  <c r="E442" i="3"/>
  <c r="E468" i="3"/>
  <c r="E391" i="3"/>
  <c r="E249" i="3"/>
  <c r="E283" i="3"/>
  <c r="E17" i="3"/>
  <c r="E418" i="3"/>
  <c r="E145" i="3"/>
  <c r="E15" i="3"/>
  <c r="E556" i="3"/>
  <c r="E238" i="3"/>
  <c r="E110" i="3"/>
  <c r="E270" i="3"/>
  <c r="AR6" i="3"/>
  <c r="E479" i="3"/>
  <c r="E536" i="3"/>
  <c r="E206" i="3"/>
  <c r="E436" i="3"/>
  <c r="E560" i="3"/>
  <c r="E118" i="3"/>
  <c r="I3" i="6"/>
  <c r="E579" i="3"/>
  <c r="E90" i="3"/>
  <c r="K6" i="3"/>
  <c r="E68" i="3"/>
  <c r="E502" i="3"/>
  <c r="E357" i="3"/>
  <c r="E408" i="3"/>
  <c r="E559" i="3"/>
  <c r="E500" i="3"/>
  <c r="E491" i="3"/>
  <c r="E185" i="3"/>
  <c r="E299" i="3"/>
  <c r="E215" i="3"/>
  <c r="E406" i="3"/>
  <c r="E56" i="3"/>
  <c r="E544" i="3"/>
  <c r="E492" i="3"/>
  <c r="E583" i="3"/>
  <c r="E244" i="3"/>
  <c r="E450" i="3"/>
  <c r="AP6" i="3"/>
  <c r="E446" i="3"/>
  <c r="E116" i="3"/>
  <c r="E475" i="3"/>
  <c r="E327" i="3"/>
  <c r="E300" i="3"/>
  <c r="E264" i="3"/>
  <c r="E190" i="3"/>
  <c r="E52" i="3"/>
  <c r="E482" i="3"/>
  <c r="E378" i="3"/>
  <c r="J6" i="3"/>
  <c r="E373" i="3"/>
  <c r="E393" i="3"/>
  <c r="E157" i="3"/>
  <c r="E498" i="3"/>
  <c r="E194" i="3"/>
  <c r="E429" i="3"/>
  <c r="E192" i="3"/>
  <c r="E279" i="3"/>
  <c r="E180" i="3"/>
  <c r="E184" i="3"/>
  <c r="E55" i="3"/>
  <c r="E28" i="3"/>
  <c r="E577" i="3"/>
  <c r="E531" i="3"/>
  <c r="Z6" i="3"/>
  <c r="E266" i="3"/>
  <c r="E494" i="3"/>
  <c r="E100" i="3"/>
  <c r="E47" i="3"/>
  <c r="E152" i="3"/>
  <c r="E360" i="3"/>
  <c r="E448" i="3"/>
  <c r="E309" i="3"/>
  <c r="AD6" i="3"/>
  <c r="E53" i="3"/>
  <c r="E497" i="3"/>
  <c r="E132" i="3"/>
  <c r="I6" i="3"/>
  <c r="AH6" i="3"/>
  <c r="G109" i="43"/>
  <c r="G103" i="43"/>
  <c r="G106" i="43"/>
  <c r="G104" i="43"/>
  <c r="G102" i="43"/>
  <c r="G107" i="43"/>
  <c r="G105" i="43"/>
  <c r="H105" i="43"/>
  <c r="H107" i="43"/>
  <c r="H103" i="43"/>
  <c r="H102" i="43"/>
  <c r="H109" i="43"/>
  <c r="H106" i="43"/>
  <c r="H104" i="43"/>
  <c r="J107" i="43" l="1"/>
  <c r="L102" i="43"/>
  <c r="F104" i="43"/>
  <c r="L109" i="43"/>
  <c r="N103" i="43"/>
  <c r="J102" i="43"/>
  <c r="L104" i="43"/>
  <c r="N102" i="43"/>
  <c r="L103" i="43"/>
  <c r="N109" i="43"/>
  <c r="J109" i="43"/>
  <c r="J103" i="43"/>
  <c r="L105" i="43"/>
  <c r="F106" i="43"/>
  <c r="N104" i="43"/>
  <c r="J104" i="43"/>
  <c r="D22" i="43"/>
  <c r="D115" i="43"/>
  <c r="E115" i="43" s="1"/>
  <c r="F115" i="43" s="1"/>
  <c r="G115" i="43" s="1"/>
  <c r="H115" i="43" s="1"/>
  <c r="D116" i="43"/>
  <c r="E116" i="43" s="1"/>
  <c r="F116" i="43" s="1"/>
  <c r="G116" i="43" s="1"/>
  <c r="H116" i="43" s="1"/>
  <c r="D117" i="43"/>
  <c r="E117" i="43" s="1"/>
  <c r="F117" i="43" s="1"/>
  <c r="G117" i="43" s="1"/>
  <c r="H117" i="43" s="1"/>
  <c r="F107" i="43"/>
  <c r="F109" i="43"/>
  <c r="B116" i="43"/>
  <c r="C116" i="43" s="1"/>
  <c r="I117" i="43"/>
  <c r="J117" i="43" s="1"/>
  <c r="K117" i="43" s="1"/>
  <c r="L117" i="43" s="1"/>
  <c r="M117" i="43" s="1"/>
  <c r="B118" i="43"/>
  <c r="C118" i="43" s="1"/>
  <c r="L106" i="43"/>
  <c r="F103" i="43"/>
  <c r="N105" i="43"/>
  <c r="B115" i="43"/>
  <c r="C115" i="43" s="1"/>
  <c r="I118" i="43"/>
  <c r="J118" i="43" s="1"/>
  <c r="K118" i="43" s="1"/>
  <c r="L118" i="43" s="1"/>
  <c r="M118" i="43" s="1"/>
  <c r="D118" i="43"/>
  <c r="E118" i="43" s="1"/>
  <c r="F118" i="43" s="1"/>
  <c r="E105" i="43"/>
  <c r="D109" i="43"/>
  <c r="M103" i="43"/>
  <c r="F102" i="43"/>
  <c r="E107" i="43"/>
  <c r="M102" i="43"/>
  <c r="C106" i="43"/>
  <c r="E104" i="43"/>
  <c r="D103" i="43"/>
  <c r="M107" i="43"/>
  <c r="C109" i="43"/>
  <c r="D104" i="43"/>
  <c r="M105" i="43"/>
  <c r="M109" i="43"/>
  <c r="C107" i="43"/>
  <c r="C102" i="43"/>
  <c r="E103" i="43"/>
  <c r="E109" i="43"/>
  <c r="D107" i="43"/>
  <c r="C105" i="43"/>
  <c r="M104" i="43"/>
  <c r="C103" i="43"/>
  <c r="E102" i="43"/>
  <c r="D105" i="43"/>
  <c r="U11" i="39"/>
  <c r="AB11" i="39"/>
  <c r="T47" i="39" s="1"/>
  <c r="G47" i="39" s="1"/>
  <c r="F50" i="69"/>
  <c r="M59" i="80"/>
  <c r="L59" i="80" s="1"/>
  <c r="J53" i="80"/>
  <c r="W11" i="39"/>
  <c r="AC11" i="39"/>
  <c r="V47" i="39" s="1"/>
  <c r="I47" i="39" s="1"/>
  <c r="I51" i="39" s="1"/>
  <c r="J51" i="39" s="1"/>
  <c r="AA11" i="39"/>
  <c r="R47" i="39" s="1"/>
  <c r="S11" i="39"/>
  <c r="F50" i="11"/>
  <c r="F34" i="68"/>
  <c r="F11" i="12"/>
  <c r="F34" i="11"/>
  <c r="M59" i="67"/>
  <c r="J53" i="67"/>
  <c r="J53" i="15"/>
  <c r="M59" i="15"/>
  <c r="L59" i="15" s="1"/>
  <c r="C26" i="12"/>
  <c r="D25" i="12" s="1"/>
  <c r="P16" i="1"/>
  <c r="C11" i="12" s="1"/>
  <c r="C12" i="12" s="1"/>
  <c r="C13" i="12"/>
  <c r="F50" i="68"/>
  <c r="C26" i="68"/>
  <c r="D22" i="68" s="1"/>
  <c r="C26" i="11"/>
  <c r="D22" i="11" s="1"/>
  <c r="C23" i="11"/>
  <c r="C29" i="12"/>
  <c r="D28" i="12" s="1"/>
  <c r="H6" i="3"/>
  <c r="AC6" i="3"/>
  <c r="AY31" i="3"/>
  <c r="AY244" i="3"/>
  <c r="AY36" i="3"/>
  <c r="BS6" i="3"/>
  <c r="AY467" i="3"/>
  <c r="AY49" i="3"/>
  <c r="AY418" i="3"/>
  <c r="AY296" i="3"/>
  <c r="AY175" i="3"/>
  <c r="AY23" i="3"/>
  <c r="AY428" i="3"/>
  <c r="AY553" i="3"/>
  <c r="AY246" i="3"/>
  <c r="AY377" i="3"/>
  <c r="AY16" i="3"/>
  <c r="AY328" i="3"/>
  <c r="AY78" i="3"/>
  <c r="AY587" i="3"/>
  <c r="BC6" i="3"/>
  <c r="AY252" i="3"/>
  <c r="AY436" i="3"/>
  <c r="AY141" i="3"/>
  <c r="AY181" i="3"/>
  <c r="AY503" i="3"/>
  <c r="AY267" i="3"/>
  <c r="AY515" i="3"/>
  <c r="AY485" i="3"/>
  <c r="AY351" i="3"/>
  <c r="AY152" i="3"/>
  <c r="AY217" i="3"/>
  <c r="AY33" i="3"/>
  <c r="BH6" i="3"/>
  <c r="AY472" i="3"/>
  <c r="AY48" i="3"/>
  <c r="AY439" i="3"/>
  <c r="AY249" i="3"/>
  <c r="AY128" i="3"/>
  <c r="AY581" i="3"/>
  <c r="AY119" i="3"/>
  <c r="AY412" i="3"/>
  <c r="AY72" i="3"/>
  <c r="AY171" i="3"/>
  <c r="AY526" i="3"/>
  <c r="AY85" i="3"/>
  <c r="AY211" i="3"/>
  <c r="AY325" i="3"/>
  <c r="AY556" i="3"/>
  <c r="AY492" i="3"/>
  <c r="AY203" i="3"/>
  <c r="AY39" i="3"/>
  <c r="AY567" i="3"/>
  <c r="AY335" i="3"/>
  <c r="BK6" i="3"/>
  <c r="AY294" i="3"/>
  <c r="AY290" i="3"/>
  <c r="BF6" i="3"/>
  <c r="AY369" i="3"/>
  <c r="AY35" i="3"/>
  <c r="AY86" i="3"/>
  <c r="AY504" i="3"/>
  <c r="AY209" i="3"/>
  <c r="AY417" i="3"/>
  <c r="AY134" i="3"/>
  <c r="AY161" i="3"/>
  <c r="AY580" i="3"/>
  <c r="AY250" i="3"/>
  <c r="AY551" i="3"/>
  <c r="AY451" i="3"/>
  <c r="AY307" i="3"/>
  <c r="AY281" i="3"/>
  <c r="AY372" i="3"/>
  <c r="AY190" i="3"/>
  <c r="AY109" i="3"/>
  <c r="AY462" i="3"/>
  <c r="AY194" i="3"/>
  <c r="AY407" i="3"/>
  <c r="AY232" i="3"/>
  <c r="AY277" i="3"/>
  <c r="AY502" i="3"/>
  <c r="AY498" i="3"/>
  <c r="AY557" i="3"/>
  <c r="AY121" i="3"/>
  <c r="AY292" i="3"/>
  <c r="AY355" i="3"/>
  <c r="AY182" i="3"/>
  <c r="AY93" i="3"/>
  <c r="AY454" i="3"/>
  <c r="AY205" i="3"/>
  <c r="AY399" i="3"/>
  <c r="AY216" i="3"/>
  <c r="AY288" i="3"/>
  <c r="AY155" i="3"/>
  <c r="AY106" i="3"/>
  <c r="AY77" i="3"/>
  <c r="AY392" i="3"/>
  <c r="AY457" i="3"/>
  <c r="AY282" i="3"/>
  <c r="AY367" i="3"/>
  <c r="AY254" i="3"/>
  <c r="AY47" i="3"/>
  <c r="AY433" i="3"/>
  <c r="AY266" i="3"/>
  <c r="AY183" i="3"/>
  <c r="AY341" i="3"/>
  <c r="AY402" i="3"/>
  <c r="AY143" i="3"/>
  <c r="AY441" i="3"/>
  <c r="AY230" i="3"/>
  <c r="AY501" i="3"/>
  <c r="AY46" i="3"/>
  <c r="AY511" i="3"/>
  <c r="AY308" i="3"/>
  <c r="AY66" i="3"/>
  <c r="AY510" i="3"/>
  <c r="AY550" i="3"/>
  <c r="AY480" i="3"/>
  <c r="AY538" i="3"/>
  <c r="AY566" i="3"/>
  <c r="AY401" i="3"/>
  <c r="AY316" i="3"/>
  <c r="AY458" i="3"/>
  <c r="AY90" i="3"/>
  <c r="AY359" i="3"/>
  <c r="AY178" i="3"/>
  <c r="AY17" i="3"/>
  <c r="AY180" i="3"/>
  <c r="AY519" i="3"/>
  <c r="AY103" i="3"/>
  <c r="AY29" i="3"/>
  <c r="AY147" i="3"/>
  <c r="AY481" i="3"/>
  <c r="AY146" i="3"/>
  <c r="AY40" i="3"/>
  <c r="AY435" i="3"/>
  <c r="AY122" i="3"/>
  <c r="AY564" i="3"/>
  <c r="AY347" i="3"/>
  <c r="AY208" i="3"/>
  <c r="AY59" i="3"/>
  <c r="AY245" i="3"/>
  <c r="AY60" i="3"/>
  <c r="AY357" i="3"/>
  <c r="AY491" i="3"/>
  <c r="AY96" i="3"/>
  <c r="AY442" i="3"/>
  <c r="AY127" i="3"/>
  <c r="AY179" i="3"/>
  <c r="AY67" i="3"/>
  <c r="AY489" i="3"/>
  <c r="AY540" i="3"/>
  <c r="AY255" i="3"/>
  <c r="AY258" i="3"/>
  <c r="AY520" i="3"/>
  <c r="AY350" i="3"/>
  <c r="AY562" i="3"/>
  <c r="AY302" i="3"/>
  <c r="AY279" i="3"/>
  <c r="BN6" i="3"/>
  <c r="AY385" i="3"/>
  <c r="AY548" i="3"/>
  <c r="AY421" i="3"/>
  <c r="AY474" i="3"/>
  <c r="AY58" i="3"/>
  <c r="AY342" i="3"/>
  <c r="AY170" i="3"/>
  <c r="AY41" i="3"/>
  <c r="AY414" i="3"/>
  <c r="AY169" i="3"/>
  <c r="AY499" i="3"/>
  <c r="AY222" i="3"/>
  <c r="AY30" i="3"/>
  <c r="AY513" i="3"/>
  <c r="AY223" i="3"/>
  <c r="AY256" i="3"/>
  <c r="AY43" i="3"/>
  <c r="AY384" i="3"/>
  <c r="AY496" i="3"/>
  <c r="AY415" i="3"/>
  <c r="AY547" i="3"/>
  <c r="AY87" i="3"/>
  <c r="AY529" i="3"/>
  <c r="AY165" i="3"/>
  <c r="AY259" i="3"/>
  <c r="AY494" i="3"/>
  <c r="AY524" i="3"/>
  <c r="AY558" i="3"/>
  <c r="AY586" i="3"/>
  <c r="AY416" i="3"/>
  <c r="AY52" i="3"/>
  <c r="AY98" i="3"/>
  <c r="AY390" i="3"/>
  <c r="AY157" i="3"/>
  <c r="AY243" i="3"/>
  <c r="AY32" i="3"/>
  <c r="AY575" i="3"/>
  <c r="AY13" i="3"/>
  <c r="AY176" i="3"/>
  <c r="AY228" i="3"/>
  <c r="AY138" i="3"/>
  <c r="AY349" i="3"/>
  <c r="AY80" i="3"/>
  <c r="AY531" i="3"/>
  <c r="AY159" i="3"/>
  <c r="AY289" i="3"/>
  <c r="AY343" i="3"/>
  <c r="AY270" i="3"/>
  <c r="AY324" i="3"/>
  <c r="AY174" i="3"/>
  <c r="AY79" i="3"/>
  <c r="AY200" i="3"/>
  <c r="AY124" i="3"/>
  <c r="AY420" i="3"/>
  <c r="AY247" i="3"/>
  <c r="AY348" i="3"/>
  <c r="AY251" i="3"/>
  <c r="AY99" i="3"/>
  <c r="AY38" i="3"/>
  <c r="AY264" i="3"/>
  <c r="AY363" i="3"/>
  <c r="AY368" i="3"/>
  <c r="AY220" i="3"/>
  <c r="BO6" i="3"/>
  <c r="AY389" i="3"/>
  <c r="AY525" i="3"/>
  <c r="AY321" i="3"/>
  <c r="AY140" i="3"/>
  <c r="AY339" i="3"/>
  <c r="AY268" i="3"/>
  <c r="AY569" i="3"/>
  <c r="BJ6" i="3"/>
  <c r="AY514" i="3"/>
  <c r="BA6" i="3"/>
  <c r="AY393" i="3"/>
  <c r="AY15" i="3"/>
  <c r="BM6" i="3"/>
  <c r="AY212" i="3"/>
  <c r="AY64" i="3"/>
  <c r="AY500" i="3"/>
  <c r="AY310" i="3"/>
  <c r="AY353" i="3"/>
  <c r="AY14" i="3"/>
  <c r="AY269" i="3"/>
  <c r="AY120" i="3"/>
  <c r="AY210" i="3"/>
  <c r="AY284" i="3"/>
  <c r="AY153" i="3"/>
  <c r="AY240" i="3"/>
  <c r="AY76" i="3"/>
  <c r="AY101" i="3"/>
  <c r="AY184" i="3"/>
  <c r="AY125" i="3"/>
  <c r="AY422" i="3"/>
  <c r="AY115" i="3"/>
  <c r="AY453" i="3"/>
  <c r="AY573" i="3"/>
  <c r="AY113" i="3"/>
  <c r="AY315" i="3"/>
  <c r="AY42" i="3"/>
  <c r="AY44" i="3"/>
  <c r="AY475" i="3"/>
  <c r="AY426" i="3"/>
  <c r="AY148" i="3"/>
  <c r="AY117" i="3"/>
  <c r="AY530" i="3"/>
  <c r="AY358" i="3"/>
  <c r="AY189" i="3"/>
  <c r="AY160" i="3"/>
  <c r="AY275" i="3"/>
  <c r="AY434" i="3"/>
  <c r="AY164" i="3"/>
  <c r="AY185" i="3"/>
  <c r="AY327" i="3"/>
  <c r="AY344" i="3"/>
  <c r="BG6" i="3"/>
  <c r="AY135" i="3"/>
  <c r="AY123" i="3"/>
  <c r="AY248" i="3"/>
  <c r="AY92" i="3"/>
  <c r="AY571" i="3"/>
  <c r="AY448" i="3"/>
  <c r="AY326" i="3"/>
  <c r="AY25" i="3"/>
  <c r="AY431" i="3"/>
  <c r="AY432" i="3"/>
  <c r="AY24" i="3"/>
  <c r="AY410" i="3"/>
  <c r="AY50" i="3"/>
  <c r="AY215" i="3"/>
  <c r="AY505" i="3"/>
  <c r="AY26" i="3"/>
  <c r="AY242" i="3"/>
  <c r="AY560" i="3"/>
  <c r="AY74" i="3"/>
  <c r="AY404" i="3"/>
  <c r="AY340" i="3"/>
  <c r="AY110" i="3"/>
  <c r="AY131" i="3"/>
  <c r="AY263" i="3"/>
  <c r="AY555" i="3"/>
  <c r="AY177" i="3"/>
  <c r="AY265" i="3"/>
  <c r="AY56" i="3"/>
  <c r="AY224" i="3"/>
  <c r="AY512" i="3"/>
  <c r="AY107" i="3"/>
  <c r="AY456" i="3"/>
  <c r="AY57" i="3"/>
  <c r="AY319" i="3"/>
  <c r="AY19" i="3"/>
  <c r="AY295" i="3"/>
  <c r="AY437" i="3"/>
  <c r="AY276" i="3"/>
  <c r="AY273" i="3"/>
  <c r="AY408" i="3"/>
  <c r="AY111" i="3"/>
  <c r="BE6" i="3"/>
  <c r="AY191" i="3"/>
  <c r="AY356" i="3"/>
  <c r="AY102" i="3"/>
  <c r="AY299" i="3"/>
  <c r="BR6" i="3"/>
  <c r="AY306" i="3"/>
  <c r="AY379" i="3"/>
  <c r="BB6" i="3"/>
  <c r="AY21" i="3"/>
  <c r="AY493" i="3"/>
  <c r="AY54" i="3"/>
  <c r="AY144" i="3"/>
  <c r="AY463" i="3"/>
  <c r="AY278" i="3"/>
  <c r="AY333" i="3"/>
  <c r="AY287" i="3"/>
  <c r="AY578" i="3"/>
  <c r="AY55" i="3"/>
  <c r="AY423" i="3"/>
  <c r="AY196" i="3"/>
  <c r="AY238" i="3"/>
  <c r="AY163" i="3"/>
  <c r="AY447" i="3"/>
  <c r="AY271" i="3"/>
  <c r="AY464" i="3"/>
  <c r="AY298" i="3"/>
  <c r="AY563" i="3"/>
  <c r="AY136" i="3"/>
  <c r="AY188" i="3"/>
  <c r="AY465" i="3"/>
  <c r="AY214" i="3"/>
  <c r="AY488" i="3"/>
  <c r="AY129" i="3"/>
  <c r="AY280" i="3"/>
  <c r="AY213" i="3"/>
  <c r="AY261" i="3"/>
  <c r="AY539" i="3"/>
  <c r="AY373" i="3"/>
  <c r="AY438" i="3"/>
  <c r="AY305" i="3"/>
  <c r="AY151" i="3"/>
  <c r="AY257" i="3"/>
  <c r="AY236" i="3"/>
  <c r="AY533" i="3"/>
  <c r="AY397" i="3"/>
  <c r="BQ6" i="3"/>
  <c r="AY329" i="3"/>
  <c r="AY156" i="3"/>
  <c r="AY354" i="3"/>
  <c r="AY517" i="3"/>
  <c r="AY229" i="3"/>
  <c r="AY483" i="3"/>
  <c r="AY486" i="3"/>
  <c r="AY53" i="3"/>
  <c r="AY150" i="3"/>
  <c r="AY518" i="3"/>
  <c r="AY461" i="3"/>
  <c r="AY482" i="3"/>
  <c r="AY413" i="3"/>
  <c r="AY318" i="3"/>
  <c r="AY206" i="3"/>
  <c r="AY197" i="3"/>
  <c r="AY37" i="3"/>
  <c r="AY18" i="3"/>
  <c r="AY559" i="3"/>
  <c r="AY225" i="3"/>
  <c r="AY509" i="3"/>
  <c r="AY100" i="3"/>
  <c r="AY361" i="3"/>
  <c r="AY443" i="3"/>
  <c r="AY97" i="3"/>
  <c r="AY398" i="3"/>
  <c r="AY362" i="3"/>
  <c r="AY68" i="3"/>
  <c r="AY195" i="3"/>
  <c r="AY313" i="3"/>
  <c r="AY20" i="3"/>
  <c r="AY320" i="3"/>
  <c r="AY95" i="3"/>
  <c r="AY374" i="3"/>
  <c r="AY234" i="3"/>
  <c r="AY112" i="3"/>
  <c r="AY75" i="3"/>
  <c r="AY142" i="3"/>
  <c r="AY45" i="3"/>
  <c r="AY167" i="3"/>
  <c r="AY173" i="3"/>
  <c r="AY479" i="3"/>
  <c r="AY71" i="3"/>
  <c r="AY366" i="3"/>
  <c r="AY283" i="3"/>
  <c r="AY534" i="3"/>
  <c r="AY570" i="3"/>
  <c r="AY490" i="3"/>
  <c r="AY130" i="3"/>
  <c r="AY440" i="3"/>
  <c r="AY201" i="3"/>
  <c r="AY579" i="3"/>
  <c r="AY497" i="3"/>
  <c r="AY572" i="3"/>
  <c r="AY545" i="3"/>
  <c r="AY477" i="3"/>
  <c r="AY430" i="3"/>
  <c r="AY158" i="3"/>
  <c r="BD6" i="3"/>
  <c r="AY63" i="3"/>
  <c r="AY388" i="3"/>
  <c r="AY89" i="3"/>
  <c r="AY371" i="3"/>
  <c r="AY561" i="3"/>
  <c r="AY198" i="3"/>
  <c r="AY476" i="3"/>
  <c r="AY303" i="3"/>
  <c r="AY202" i="3"/>
  <c r="AY346" i="3"/>
  <c r="AY314" i="3"/>
  <c r="AY334" i="3"/>
  <c r="AY186" i="3"/>
  <c r="AY330" i="3"/>
  <c r="AY409" i="3"/>
  <c r="AY584" i="3"/>
  <c r="AY405" i="3"/>
  <c r="AY193" i="3"/>
  <c r="AY523" i="3"/>
  <c r="AY51" i="3"/>
  <c r="AY133" i="3"/>
  <c r="AY565" i="3"/>
  <c r="AY317" i="3"/>
  <c r="AY132" i="3"/>
  <c r="AY239" i="3"/>
  <c r="AY22" i="3"/>
  <c r="AY452" i="3"/>
  <c r="AY484" i="3"/>
  <c r="AY576" i="3"/>
  <c r="AY323" i="3"/>
  <c r="AY168" i="3"/>
  <c r="AY312" i="3"/>
  <c r="AY541" i="3"/>
  <c r="AY543" i="3"/>
  <c r="AY585" i="3"/>
  <c r="AY478" i="3"/>
  <c r="AY332" i="3"/>
  <c r="AY532" i="3"/>
  <c r="AY549" i="3"/>
  <c r="AY380" i="3"/>
  <c r="AY218" i="3"/>
  <c r="AY446" i="3"/>
  <c r="AY396" i="3"/>
  <c r="AY425" i="3"/>
  <c r="AY508" i="3"/>
  <c r="AY583" i="3"/>
  <c r="AY114" i="3"/>
  <c r="AY376" i="3"/>
  <c r="AY139" i="3"/>
  <c r="AY69" i="3"/>
  <c r="AY309" i="3"/>
  <c r="AY337" i="3"/>
  <c r="AY172" i="3"/>
  <c r="AY293" i="3"/>
  <c r="AY253" i="3"/>
  <c r="AY544" i="3"/>
  <c r="AY219" i="3"/>
  <c r="AY411" i="3"/>
  <c r="AY364" i="3"/>
  <c r="AY192" i="3"/>
  <c r="AY391" i="3"/>
  <c r="AY187" i="3"/>
  <c r="AY204" i="3"/>
  <c r="AY370" i="3"/>
  <c r="AY237" i="3"/>
  <c r="AY574" i="3"/>
  <c r="BI6" i="3"/>
  <c r="AY403" i="3"/>
  <c r="AY352" i="3"/>
  <c r="AY233" i="3"/>
  <c r="AY375" i="3"/>
  <c r="AY297" i="3"/>
  <c r="AY108" i="3"/>
  <c r="AY554" i="3"/>
  <c r="AY427" i="3"/>
  <c r="AY487" i="3"/>
  <c r="AY331" i="3"/>
  <c r="AY459" i="3"/>
  <c r="AY455" i="3"/>
  <c r="AY84" i="3"/>
  <c r="AY88" i="3"/>
  <c r="AY552" i="3"/>
  <c r="AY445" i="3"/>
  <c r="AY394" i="3"/>
  <c r="AY521" i="3"/>
  <c r="AY473" i="3"/>
  <c r="AY61" i="3"/>
  <c r="AY166" i="3"/>
  <c r="AY495" i="3"/>
  <c r="AY468" i="3"/>
  <c r="AY469" i="3"/>
  <c r="AY429" i="3"/>
  <c r="AY70" i="3"/>
  <c r="AY162" i="3"/>
  <c r="AY82" i="3"/>
  <c r="AY199" i="3"/>
  <c r="AY126" i="3"/>
  <c r="AY226" i="3"/>
  <c r="AY577" i="3"/>
  <c r="AY537" i="3"/>
  <c r="AY528" i="3"/>
  <c r="AY83" i="3"/>
  <c r="AY395" i="3"/>
  <c r="AY149" i="3"/>
  <c r="AY274" i="3"/>
  <c r="AY345" i="3"/>
  <c r="AY444" i="3"/>
  <c r="AY336" i="3"/>
  <c r="AY118" i="3"/>
  <c r="AY466" i="3"/>
  <c r="AY227" i="3"/>
  <c r="BP6" i="3"/>
  <c r="AY207" i="3"/>
  <c r="AY154" i="3"/>
  <c r="AY137" i="3"/>
  <c r="AY91" i="3"/>
  <c r="AY365" i="3"/>
  <c r="AY470" i="3"/>
  <c r="AY94" i="3"/>
  <c r="AY507" i="3"/>
  <c r="AY62" i="3"/>
  <c r="AY382" i="3"/>
  <c r="AY145" i="3"/>
  <c r="AY542" i="3"/>
  <c r="AY231" i="3"/>
  <c r="AY311" i="3"/>
  <c r="AY383" i="3"/>
  <c r="AY381" i="3"/>
  <c r="AY27" i="3"/>
  <c r="AY419" i="3"/>
  <c r="AY522" i="3"/>
  <c r="AY386" i="3"/>
  <c r="AY260" i="3"/>
  <c r="AY360" i="3"/>
  <c r="AY65" i="3"/>
  <c r="AY285" i="3"/>
  <c r="AY387" i="3"/>
  <c r="AY516" i="3"/>
  <c r="AY322" i="3"/>
  <c r="AY104" i="3"/>
  <c r="AY221" i="3"/>
  <c r="AY105" i="3"/>
  <c r="AY81" i="3"/>
  <c r="AY301" i="3"/>
  <c r="AY34" i="3"/>
  <c r="AY506" i="3"/>
  <c r="AY338" i="3"/>
  <c r="AY460" i="3"/>
  <c r="AY241" i="3"/>
  <c r="AY378" i="3"/>
  <c r="AY304" i="3"/>
  <c r="AY424" i="3"/>
  <c r="AY449" i="3"/>
  <c r="AY400" i="3"/>
  <c r="AY471" i="3"/>
  <c r="AY406" i="3"/>
  <c r="AY527" i="3"/>
  <c r="AY28" i="3"/>
  <c r="AY116" i="3"/>
  <c r="AY568" i="3"/>
  <c r="AY582" i="3"/>
  <c r="AY291" i="3"/>
  <c r="AY235" i="3"/>
  <c r="AY546" i="3"/>
  <c r="AY536" i="3"/>
  <c r="AY450" i="3"/>
  <c r="AY300" i="3"/>
  <c r="AY272" i="3"/>
  <c r="BT6" i="3"/>
  <c r="AY535" i="3"/>
  <c r="AY286" i="3"/>
  <c r="BL6" i="3"/>
  <c r="AY262" i="3"/>
  <c r="AY73" i="3"/>
  <c r="D3" i="6"/>
  <c r="K24" i="6"/>
  <c r="M24" i="6" s="1"/>
  <c r="I24" i="6" s="1"/>
  <c r="S24" i="6" s="1"/>
  <c r="K25" i="6"/>
  <c r="M25" i="6" s="1"/>
  <c r="I25" i="6" s="1"/>
  <c r="S25" i="6" s="1"/>
  <c r="K23" i="6"/>
  <c r="K26" i="6"/>
  <c r="M26" i="6" s="1"/>
  <c r="I26" i="6" s="1"/>
  <c r="S26" i="6" s="1"/>
  <c r="K22" i="6"/>
  <c r="K21" i="6"/>
  <c r="K20" i="6"/>
  <c r="E31" i="6"/>
  <c r="K19" i="6"/>
  <c r="C30" i="43"/>
  <c r="E30" i="43" s="1"/>
  <c r="C27" i="43" s="1"/>
  <c r="E29" i="43"/>
  <c r="C26" i="43" s="1"/>
  <c r="C17" i="4"/>
  <c r="B4" i="52" s="1"/>
  <c r="B43" i="72" s="1"/>
  <c r="D3" i="33"/>
  <c r="B2" i="33" s="1"/>
  <c r="B3" i="33" s="1"/>
  <c r="L18" i="9"/>
  <c r="D3" i="21"/>
  <c r="B2" i="21" s="1"/>
  <c r="B3" i="21" s="1"/>
  <c r="E6" i="6"/>
  <c r="D3" i="34"/>
  <c r="B2" i="34" s="1"/>
  <c r="B3" i="34" s="1"/>
  <c r="M18" i="9"/>
  <c r="B118" i="9" s="1"/>
  <c r="B14" i="74" s="1"/>
  <c r="B1" i="74" s="1"/>
  <c r="D3" i="37"/>
  <c r="B2" i="37" s="1"/>
  <c r="B3" i="37" s="1"/>
  <c r="D14" i="12"/>
  <c r="D19" i="11"/>
  <c r="C19" i="11" s="1"/>
  <c r="D37" i="11"/>
  <c r="E6" i="76"/>
  <c r="D113" i="43" l="1"/>
  <c r="E47" i="39"/>
  <c r="R48" i="39"/>
  <c r="G51" i="39"/>
  <c r="H51" i="39" s="1"/>
  <c r="G52" i="39"/>
  <c r="H52" i="39" s="1"/>
  <c r="Q74" i="80"/>
  <c r="Q61" i="80"/>
  <c r="F1" i="80"/>
  <c r="Q52" i="80"/>
  <c r="Q74" i="15"/>
  <c r="Q61" i="15"/>
  <c r="C37" i="11"/>
  <c r="C15" i="12"/>
  <c r="C36" i="11"/>
  <c r="C34" i="11"/>
  <c r="L56" i="15"/>
  <c r="Q52" i="15"/>
  <c r="F1" i="15"/>
  <c r="Q52" i="67"/>
  <c r="F1" i="67"/>
  <c r="C36" i="68"/>
  <c r="C34" i="68"/>
  <c r="M23" i="6"/>
  <c r="I23" i="6" s="1"/>
  <c r="S23" i="6" s="1"/>
  <c r="S10" i="1"/>
  <c r="E2" i="76"/>
  <c r="M22" i="6"/>
  <c r="I22" i="6" s="1"/>
  <c r="S22" i="6" s="1"/>
  <c r="S9" i="1"/>
  <c r="E9" i="70" s="1"/>
  <c r="K27" i="6"/>
  <c r="M19" i="6"/>
  <c r="S6" i="1"/>
  <c r="D17" i="12"/>
  <c r="C17" i="12" s="1"/>
  <c r="C14" i="12"/>
  <c r="D20" i="12"/>
  <c r="C20" i="12" s="1"/>
  <c r="D10" i="68"/>
  <c r="D10" i="11"/>
  <c r="C10" i="11" s="1"/>
  <c r="D10" i="69"/>
  <c r="L19" i="9"/>
  <c r="D5" i="6"/>
  <c r="H26" i="6"/>
  <c r="D24" i="6"/>
  <c r="D8" i="6"/>
  <c r="M19" i="9"/>
  <c r="C118" i="9" s="1"/>
  <c r="C14" i="74" s="1"/>
  <c r="B2" i="74" s="1"/>
  <c r="D9" i="6"/>
  <c r="D14" i="6"/>
  <c r="D29" i="6"/>
  <c r="D26" i="6"/>
  <c r="D6" i="6"/>
  <c r="D15" i="6"/>
  <c r="D12" i="6"/>
  <c r="H25" i="6"/>
  <c r="D23" i="6"/>
  <c r="D28" i="6"/>
  <c r="D13" i="6"/>
  <c r="D10" i="6"/>
  <c r="D11" i="6"/>
  <c r="H24" i="6"/>
  <c r="D25" i="6"/>
  <c r="D22" i="6"/>
  <c r="D20" i="6"/>
  <c r="D21" i="6"/>
  <c r="C18" i="4"/>
  <c r="D19" i="6"/>
  <c r="E61" i="40"/>
  <c r="F61" i="40" s="1"/>
  <c r="B2" i="40" s="1"/>
  <c r="B3" i="40" s="1"/>
  <c r="E6" i="3"/>
  <c r="C7" i="74"/>
  <c r="S8" i="1"/>
  <c r="M21" i="6"/>
  <c r="I21" i="6" s="1"/>
  <c r="S21" i="6" s="1"/>
  <c r="C24" i="11"/>
  <c r="C20" i="11"/>
  <c r="C25" i="11" s="1"/>
  <c r="B2" i="43"/>
  <c r="S7" i="1"/>
  <c r="M20" i="6"/>
  <c r="I20" i="6" s="1"/>
  <c r="S20" i="6" s="1"/>
  <c r="C17" i="80"/>
  <c r="C17" i="67"/>
  <c r="C14" i="67"/>
  <c r="B6" i="76"/>
  <c r="C17" i="15"/>
  <c r="AE7" i="1"/>
  <c r="AE9" i="1"/>
  <c r="C47" i="39" l="1"/>
  <c r="C48" i="39"/>
  <c r="E7" i="70"/>
  <c r="E2" i="70" s="1"/>
  <c r="I52" i="39"/>
  <c r="J52" i="39" s="1"/>
  <c r="E52" i="39"/>
  <c r="F52" i="39" s="1"/>
  <c r="E51" i="39"/>
  <c r="F51" i="39" s="1"/>
  <c r="C16" i="12"/>
  <c r="C35" i="68"/>
  <c r="C38" i="68"/>
  <c r="C35" i="11"/>
  <c r="C38" i="11"/>
  <c r="C22" i="11"/>
  <c r="C15" i="67"/>
  <c r="C18" i="67"/>
  <c r="H23" i="6"/>
  <c r="R23" i="6" s="1"/>
  <c r="AQ10" i="1"/>
  <c r="AR10" i="1"/>
  <c r="T10" i="1"/>
  <c r="D30" i="6"/>
  <c r="H22" i="6"/>
  <c r="R22" i="6" s="1"/>
  <c r="R9" i="1" s="1"/>
  <c r="H21" i="6"/>
  <c r="R21" i="6" s="1"/>
  <c r="R8" i="1" s="1"/>
  <c r="B2" i="76"/>
  <c r="B3" i="76" s="1"/>
  <c r="T7" i="1"/>
  <c r="AR7" i="1"/>
  <c r="AQ7" i="1"/>
  <c r="H20" i="6"/>
  <c r="R20" i="6" s="1"/>
  <c r="R7" i="1" s="1"/>
  <c r="AQ9" i="1"/>
  <c r="T9" i="1"/>
  <c r="AR9" i="1"/>
  <c r="C4" i="52"/>
  <c r="B45" i="72" s="1"/>
  <c r="A10" i="51"/>
  <c r="B9" i="72" s="1"/>
  <c r="A7" i="51"/>
  <c r="B7" i="72" s="1"/>
  <c r="R25" i="6"/>
  <c r="R26" i="6"/>
  <c r="D7" i="74"/>
  <c r="C10" i="68"/>
  <c r="B29" i="1" s="1"/>
  <c r="C8" i="68" s="1"/>
  <c r="D19" i="68"/>
  <c r="AQ6" i="1"/>
  <c r="S16" i="1"/>
  <c r="T6" i="1"/>
  <c r="AR6" i="1"/>
  <c r="D27" i="6"/>
  <c r="C10" i="69"/>
  <c r="C8" i="69" s="1"/>
  <c r="C5" i="69" s="1"/>
  <c r="D19" i="69"/>
  <c r="B3" i="43"/>
  <c r="C28" i="11"/>
  <c r="C27" i="11" s="1"/>
  <c r="T8" i="1"/>
  <c r="AR8" i="1"/>
  <c r="AQ8" i="1"/>
  <c r="D16" i="6"/>
  <c r="R24" i="6"/>
  <c r="I19" i="6"/>
  <c r="M27" i="6"/>
  <c r="F41" i="80"/>
  <c r="C14" i="80"/>
  <c r="C14" i="15"/>
  <c r="F41" i="15"/>
  <c r="F35" i="80"/>
  <c r="M21" i="80"/>
  <c r="F69" i="15" l="1"/>
  <c r="J29" i="15"/>
  <c r="F69" i="80"/>
  <c r="J29" i="80"/>
  <c r="C18" i="80"/>
  <c r="C15" i="80"/>
  <c r="B58" i="39"/>
  <c r="F58" i="39" s="1"/>
  <c r="B60" i="39"/>
  <c r="F60" i="39" s="1"/>
  <c r="B57" i="39"/>
  <c r="F57" i="39" s="1"/>
  <c r="B64" i="39"/>
  <c r="F64" i="39" s="1"/>
  <c r="B59" i="39"/>
  <c r="F59" i="39" s="1"/>
  <c r="B61" i="39"/>
  <c r="F61" i="39" s="1"/>
  <c r="B62" i="39"/>
  <c r="F62" i="39" s="1"/>
  <c r="B63" i="39"/>
  <c r="F63" i="39" s="1"/>
  <c r="B65" i="39"/>
  <c r="F65" i="39" s="1"/>
  <c r="B56" i="39"/>
  <c r="F56" i="39" s="1"/>
  <c r="J20" i="80"/>
  <c r="F63" i="80"/>
  <c r="C62" i="80" s="1"/>
  <c r="C34" i="80"/>
  <c r="C31" i="80" s="1"/>
  <c r="C18" i="12"/>
  <c r="C21" i="12" s="1"/>
  <c r="C22" i="12" s="1"/>
  <c r="C33" i="11"/>
  <c r="C39" i="11" s="1"/>
  <c r="C43" i="11" s="1"/>
  <c r="C31" i="11"/>
  <c r="R10" i="1"/>
  <c r="C19" i="67"/>
  <c r="C20" i="67" s="1"/>
  <c r="C26" i="67" s="1"/>
  <c r="C18" i="15"/>
  <c r="C15" i="15"/>
  <c r="D31" i="6"/>
  <c r="I5" i="6" s="1"/>
  <c r="D37" i="68"/>
  <c r="C37" i="68" s="1"/>
  <c r="C33" i="68" s="1"/>
  <c r="C91" i="9" s="1"/>
  <c r="C19" i="68"/>
  <c r="C23" i="69"/>
  <c r="C19" i="69"/>
  <c r="C24" i="69" s="1"/>
  <c r="D37" i="69"/>
  <c r="C37" i="69" s="1"/>
  <c r="C33" i="69" s="1"/>
  <c r="T16" i="1"/>
  <c r="S19" i="6"/>
  <c r="S27" i="6" s="1"/>
  <c r="I27" i="6"/>
  <c r="H19" i="6"/>
  <c r="F35" i="15"/>
  <c r="M21" i="67"/>
  <c r="F35" i="67"/>
  <c r="M21" i="15"/>
  <c r="C94" i="9" l="1"/>
  <c r="C92" i="9"/>
  <c r="C19" i="80"/>
  <c r="C20" i="80" s="1"/>
  <c r="C26" i="80" s="1"/>
  <c r="F66" i="39"/>
  <c r="B2" i="39" s="1"/>
  <c r="C42" i="11"/>
  <c r="C41" i="11" s="1"/>
  <c r="I6" i="6"/>
  <c r="C46" i="11"/>
  <c r="C45" i="11" s="1"/>
  <c r="C19" i="15"/>
  <c r="C20" i="15" s="1"/>
  <c r="C26" i="15" s="1"/>
  <c r="C23" i="67"/>
  <c r="C29" i="67" s="1"/>
  <c r="C57" i="67" s="1"/>
  <c r="F63" i="15"/>
  <c r="C62" i="15" s="1"/>
  <c r="C34" i="15"/>
  <c r="J20" i="15"/>
  <c r="J20" i="67"/>
  <c r="C34" i="67"/>
  <c r="F63" i="67"/>
  <c r="C62" i="67" s="1"/>
  <c r="C20" i="69"/>
  <c r="C25" i="69" s="1"/>
  <c r="C22" i="69" s="1"/>
  <c r="C42" i="69"/>
  <c r="C39" i="69"/>
  <c r="C43" i="69" s="1"/>
  <c r="C39" i="68"/>
  <c r="C43" i="68" s="1"/>
  <c r="C42" i="68"/>
  <c r="H27" i="6"/>
  <c r="R19" i="6"/>
  <c r="C24" i="68"/>
  <c r="C23" i="80" l="1"/>
  <c r="C29" i="80" s="1"/>
  <c r="C6" i="68"/>
  <c r="B3" i="39"/>
  <c r="C49" i="11"/>
  <c r="C51" i="11" s="1"/>
  <c r="C52" i="11" s="1"/>
  <c r="B2" i="11" s="1"/>
  <c r="B3" i="11" s="1"/>
  <c r="J59" i="67"/>
  <c r="J60" i="67" s="1"/>
  <c r="Q48" i="67" s="1"/>
  <c r="C41" i="68"/>
  <c r="C41" i="69"/>
  <c r="Q49" i="67"/>
  <c r="C36" i="67"/>
  <c r="J14" i="67"/>
  <c r="J13" i="67" s="1"/>
  <c r="J23" i="67" s="1"/>
  <c r="C33" i="67"/>
  <c r="C31" i="67" s="1"/>
  <c r="J19" i="67"/>
  <c r="J17" i="67" s="1"/>
  <c r="C13" i="67"/>
  <c r="C56" i="67" s="1"/>
  <c r="C65" i="67" s="1"/>
  <c r="C23" i="15"/>
  <c r="C29" i="15" s="1"/>
  <c r="C61" i="67"/>
  <c r="C59" i="67" s="1"/>
  <c r="C64" i="67"/>
  <c r="C28" i="69"/>
  <c r="C27" i="69" s="1"/>
  <c r="C31" i="69" s="1"/>
  <c r="C46" i="68"/>
  <c r="C45" i="68" s="1"/>
  <c r="C46" i="69"/>
  <c r="C45" i="69" s="1"/>
  <c r="R6" i="1"/>
  <c r="R16" i="1" s="1"/>
  <c r="R27" i="6"/>
  <c r="J19" i="80" l="1"/>
  <c r="J17" i="80" s="1"/>
  <c r="C57" i="80"/>
  <c r="C13" i="80"/>
  <c r="Q49" i="80"/>
  <c r="C36" i="80"/>
  <c r="J14" i="80"/>
  <c r="C7" i="68"/>
  <c r="C5" i="68"/>
  <c r="C49" i="68"/>
  <c r="C51" i="68" s="1"/>
  <c r="C56" i="11"/>
  <c r="C57" i="11" s="1"/>
  <c r="L46" i="67"/>
  <c r="C49" i="69"/>
  <c r="C51" i="69" s="1"/>
  <c r="C52" i="69" s="1"/>
  <c r="B2" i="69" s="1"/>
  <c r="B3" i="69" s="1"/>
  <c r="J22" i="67"/>
  <c r="J16" i="67" s="1"/>
  <c r="J25" i="67" s="1"/>
  <c r="Q70" i="67"/>
  <c r="C37" i="67"/>
  <c r="C30" i="67" s="1"/>
  <c r="C39" i="67" s="1"/>
  <c r="C75" i="67"/>
  <c r="J14" i="15"/>
  <c r="C33" i="15"/>
  <c r="C31" i="15" s="1"/>
  <c r="J59" i="15"/>
  <c r="J60" i="15" s="1"/>
  <c r="C13" i="15"/>
  <c r="C57" i="15"/>
  <c r="C36" i="15"/>
  <c r="J19" i="15"/>
  <c r="J17" i="15" s="1"/>
  <c r="Q49" i="15"/>
  <c r="C58" i="67"/>
  <c r="C67" i="67" s="1"/>
  <c r="C68" i="67" s="1"/>
  <c r="L51" i="67"/>
  <c r="C23" i="68" l="1"/>
  <c r="C20" i="68"/>
  <c r="C28" i="68" s="1"/>
  <c r="C27" i="68" s="1"/>
  <c r="C75" i="80"/>
  <c r="C37" i="80"/>
  <c r="C30" i="80" s="1"/>
  <c r="C39" i="80" s="1"/>
  <c r="C56" i="80"/>
  <c r="C65" i="80" s="1"/>
  <c r="Q70" i="80"/>
  <c r="J13" i="80"/>
  <c r="J23" i="80" s="1"/>
  <c r="J22" i="80"/>
  <c r="C64" i="80"/>
  <c r="C61" i="80"/>
  <c r="C59" i="80" s="1"/>
  <c r="C40" i="67"/>
  <c r="C43" i="67" s="1"/>
  <c r="C80" i="67"/>
  <c r="C79" i="67" s="1"/>
  <c r="Q69" i="67"/>
  <c r="Q68" i="67" s="1"/>
  <c r="Q67" i="67"/>
  <c r="L57" i="67"/>
  <c r="L60" i="67" s="1"/>
  <c r="Q66" i="67" s="1"/>
  <c r="C61" i="15"/>
  <c r="C59" i="15" s="1"/>
  <c r="C64" i="15"/>
  <c r="J22" i="15"/>
  <c r="J13" i="15"/>
  <c r="J23" i="15" s="1"/>
  <c r="C56" i="15"/>
  <c r="C65" i="15" s="1"/>
  <c r="C75" i="15"/>
  <c r="C37" i="15"/>
  <c r="C30" i="15" s="1"/>
  <c r="C39" i="15" s="1"/>
  <c r="Q70" i="15"/>
  <c r="C71" i="67"/>
  <c r="Q48" i="15"/>
  <c r="C57" i="69"/>
  <c r="C56" i="69" s="1"/>
  <c r="L51" i="80"/>
  <c r="L51" i="15"/>
  <c r="C58" i="80" l="1"/>
  <c r="C67" i="80" s="1"/>
  <c r="C68" i="80" s="1"/>
  <c r="C71" i="80" s="1"/>
  <c r="J16" i="80"/>
  <c r="J25" i="80" s="1"/>
  <c r="C80" i="80"/>
  <c r="C79" i="80" s="1"/>
  <c r="Q67" i="80"/>
  <c r="C25" i="68"/>
  <c r="C22" i="68" s="1"/>
  <c r="C31" i="68" s="1"/>
  <c r="C52" i="68" s="1"/>
  <c r="B2" i="68" s="1"/>
  <c r="C40" i="80"/>
  <c r="Q69" i="80"/>
  <c r="Q68" i="80" s="1"/>
  <c r="C45" i="67"/>
  <c r="C46" i="67" s="1"/>
  <c r="Q56" i="67"/>
  <c r="C83" i="67"/>
  <c r="C82" i="67" s="1"/>
  <c r="Q47" i="67"/>
  <c r="Q53" i="67" s="1"/>
  <c r="Q65" i="67"/>
  <c r="Q75" i="67" s="1"/>
  <c r="D2" i="67"/>
  <c r="B3" i="67" s="1"/>
  <c r="Q57" i="67"/>
  <c r="C58" i="15"/>
  <c r="C67" i="15" s="1"/>
  <c r="C68" i="15" s="1"/>
  <c r="C71" i="15" s="1"/>
  <c r="C80" i="15"/>
  <c r="C79" i="15" s="1"/>
  <c r="J16" i="15"/>
  <c r="J25" i="15" s="1"/>
  <c r="Q67" i="15"/>
  <c r="L57" i="15"/>
  <c r="L60" i="15" s="1"/>
  <c r="L46" i="15" s="1"/>
  <c r="Q69" i="15"/>
  <c r="Q68" i="15" s="1"/>
  <c r="C40" i="15"/>
  <c r="C19" i="9"/>
  <c r="C57" i="68" l="1"/>
  <c r="C56" i="68" s="1"/>
  <c r="C102" i="9"/>
  <c r="C21" i="9"/>
  <c r="C46" i="80"/>
  <c r="Q47" i="80"/>
  <c r="Q53" i="80" s="1"/>
  <c r="C43" i="80"/>
  <c r="B2" i="80"/>
  <c r="D8" i="12" s="1"/>
  <c r="Q65" i="80"/>
  <c r="Q75" i="80" s="1"/>
  <c r="Q56" i="80"/>
  <c r="Q62" i="80" s="1"/>
  <c r="C83" i="80"/>
  <c r="C82" i="80" s="1"/>
  <c r="B3" i="68"/>
  <c r="B2" i="67"/>
  <c r="Q62" i="67"/>
  <c r="Q66" i="15"/>
  <c r="Q57" i="15"/>
  <c r="B2" i="15"/>
  <c r="F8" i="12" s="1"/>
  <c r="Q47" i="15"/>
  <c r="Q53" i="15" s="1"/>
  <c r="C43" i="15"/>
  <c r="Q56" i="15"/>
  <c r="Q65" i="15"/>
  <c r="C83" i="15"/>
  <c r="C82" i="15" s="1"/>
  <c r="C46" i="15"/>
  <c r="AO9" i="1"/>
  <c r="C20" i="9"/>
  <c r="D35" i="9"/>
  <c r="AO7" i="1"/>
  <c r="D34" i="9"/>
  <c r="C103" i="9" l="1"/>
  <c r="B7" i="70"/>
  <c r="B3" i="80"/>
  <c r="D6" i="12" s="1"/>
  <c r="B9" i="70"/>
  <c r="B3" i="15"/>
  <c r="F6" i="12" s="1"/>
  <c r="Q75" i="15"/>
  <c r="Q62" i="15"/>
  <c r="C4" i="12" l="1"/>
  <c r="C31" i="12" s="1"/>
  <c r="B2" i="70"/>
  <c r="B3" i="70" s="1"/>
  <c r="C23" i="12" l="1"/>
  <c r="C30" i="12" s="1"/>
  <c r="C28" i="12" s="1"/>
  <c r="C27" i="12" l="1"/>
  <c r="C25" i="12" s="1"/>
  <c r="C32" i="12" s="1"/>
  <c r="B2" i="12" s="1"/>
  <c r="D19" i="9"/>
  <c r="D102" i="9" l="1"/>
  <c r="D21" i="9"/>
  <c r="D22" i="9"/>
  <c r="G19" i="9"/>
  <c r="G21" i="9" s="1"/>
  <c r="B3" i="12"/>
  <c r="D20" i="9"/>
  <c r="C32" i="9" l="1"/>
  <c r="C35" i="9" s="1"/>
  <c r="F118" i="9" s="1"/>
  <c r="D103" i="9"/>
  <c r="G20" i="9"/>
  <c r="H118" i="9" l="1"/>
  <c r="I118" i="9" s="1"/>
  <c r="C34" i="9"/>
  <c r="D118" i="9" s="1"/>
  <c r="D4" i="52" s="1"/>
  <c r="B47" i="72" s="1"/>
  <c r="F119" i="9"/>
  <c r="F5" i="52" s="1"/>
  <c r="B53" i="72" s="1"/>
  <c r="F4" i="52"/>
  <c r="B51" i="72" s="1"/>
  <c r="G118" i="9"/>
  <c r="G4" i="52" s="1"/>
  <c r="B52" i="72" s="1"/>
  <c r="H101" i="9" l="1"/>
  <c r="M48" i="9" s="1"/>
  <c r="D14" i="74"/>
  <c r="B5" i="74" s="1"/>
  <c r="C104" i="9"/>
  <c r="H4" i="52"/>
  <c r="H119" i="9"/>
  <c r="H5" i="52" s="1"/>
  <c r="D119" i="9"/>
  <c r="D5" i="52" s="1"/>
  <c r="B49" i="72" s="1"/>
  <c r="I4" i="52"/>
  <c r="C105" i="9"/>
  <c r="H102" i="9"/>
  <c r="D7" i="53" s="1"/>
  <c r="B21" i="72" s="1"/>
  <c r="E118" i="9"/>
  <c r="E4" i="52" s="1"/>
  <c r="B48" i="72" s="1"/>
  <c r="D5" i="53" l="1"/>
  <c r="B20" i="72" s="1"/>
  <c r="D45" i="9"/>
  <c r="D55" i="9" s="1"/>
  <c r="M53" i="9" s="1"/>
  <c r="H107" i="9"/>
  <c r="D13" i="53" s="1"/>
  <c r="F14" i="74"/>
  <c r="E14" i="74"/>
  <c r="D5" i="74"/>
  <c r="C5" i="74"/>
  <c r="D6" i="53" l="1"/>
  <c r="B22" i="72" s="1"/>
  <c r="C72" i="9"/>
  <c r="D52" i="9"/>
  <c r="C85" i="9"/>
  <c r="C78" i="9"/>
  <c r="C73" i="9" s="1"/>
  <c r="C93" i="9"/>
  <c r="C86" i="9" s="1"/>
  <c r="C64" i="9"/>
  <c r="C63" i="9" s="1"/>
  <c r="C67" i="9" s="1"/>
  <c r="C68" i="9" s="1"/>
  <c r="D54" i="9" s="1"/>
  <c r="M49" i="9"/>
  <c r="L64" i="9" s="1"/>
  <c r="M64" i="9" s="1"/>
  <c r="D53" i="9"/>
  <c r="D48" i="9" s="1"/>
  <c r="M52" i="9" s="1"/>
  <c r="D122" i="9"/>
  <c r="G14" i="74" s="1"/>
  <c r="B6" i="74" s="1"/>
  <c r="H108" i="9"/>
  <c r="D15" i="53" s="1"/>
  <c r="B31" i="72" s="1"/>
  <c r="D14" i="53"/>
  <c r="B32" i="72" s="1"/>
  <c r="B30" i="72"/>
  <c r="L65" i="9" l="1"/>
  <c r="M65" i="9" s="1"/>
  <c r="L68" i="9"/>
  <c r="M68" i="9" s="1"/>
  <c r="C95" i="9"/>
  <c r="C96" i="9" s="1"/>
  <c r="E96" i="9" s="1"/>
  <c r="E97" i="9" s="1"/>
  <c r="C79" i="9"/>
  <c r="C80" i="9" s="1"/>
  <c r="E80" i="9" s="1"/>
  <c r="E81" i="9" s="1"/>
  <c r="L63" i="9"/>
  <c r="M63" i="9" s="1"/>
  <c r="D123" i="9"/>
  <c r="D9" i="52" s="1"/>
  <c r="L66" i="9"/>
  <c r="M66" i="9" s="1"/>
  <c r="D8" i="52"/>
  <c r="L67" i="9"/>
  <c r="M67" i="9" s="1"/>
  <c r="D6" i="74"/>
  <c r="C6" i="74"/>
  <c r="C81" i="9" l="1"/>
  <c r="M69" i="9"/>
  <c r="N69" i="9" s="1"/>
  <c r="C97" i="9"/>
  <c r="D58" i="9" s="1"/>
  <c r="D56" i="9" s="1"/>
  <c r="M54" i="9" s="1"/>
  <c r="N57" i="9" s="1"/>
  <c r="N58" i="9" s="1"/>
  <c r="N59" i="9" l="1"/>
  <c r="P57" i="9"/>
  <c r="N60" i="9" l="1"/>
  <c r="H111" i="9"/>
  <c r="N61" i="9"/>
  <c r="H112" i="9" s="1"/>
  <c r="D21" i="53" s="1"/>
  <c r="B39" i="72" s="1"/>
  <c r="D126" i="9" l="1"/>
  <c r="D19" i="53"/>
  <c r="B38" i="72" l="1"/>
  <c r="D20" i="53"/>
  <c r="B40" i="72" s="1"/>
  <c r="D127" i="9"/>
  <c r="D13" i="52" s="1"/>
  <c r="I14" i="74"/>
  <c r="B8" i="74" s="1"/>
  <c r="D12" i="52"/>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500-000005000000}">
      <text>
        <r>
          <rPr>
            <sz val="11"/>
            <color indexed="81"/>
            <rFont val="宋体"/>
            <family val="3"/>
            <charset val="134"/>
          </rPr>
          <t>在建项目均选择“是”</t>
        </r>
      </text>
    </comment>
    <comment ref="F59"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500-000007000000}">
      <text>
        <r>
          <rPr>
            <sz val="10"/>
            <color indexed="81"/>
            <rFont val="宋体"/>
            <family val="3"/>
            <charset val="134"/>
          </rPr>
          <t xml:space="preserve">在建
</t>
        </r>
      </text>
    </comment>
    <comment ref="N59" authorId="1"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 xml:space="preserve">在建项目均选择“是”
</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67CD9AE8-FD60-4441-88CC-98FE0AAC1D05}">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3193A165-83C4-48B3-9087-50CDEC0C7156}">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A47A33DF-B866-4A79-9877-896C67E2BB35}">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24713C44-D184-4572-83A7-EBA994BDF2E8}">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F1440ADC-13A1-4524-9C93-807677C7482D}">
      <text>
        <r>
          <rPr>
            <sz val="11"/>
            <color indexed="81"/>
            <rFont val="宋体"/>
            <family val="3"/>
            <charset val="134"/>
          </rPr>
          <t>在建项目均选择“是”</t>
        </r>
      </text>
    </comment>
    <comment ref="F59" authorId="0" shapeId="0" xr:uid="{DEF8F614-6F4F-49F1-AF5A-EFA08ED37982}">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86BC2607-2A5C-4618-A5F3-B16DA0BA82B1}">
      <text>
        <r>
          <rPr>
            <sz val="10"/>
            <color indexed="81"/>
            <rFont val="宋体"/>
            <family val="3"/>
            <charset val="134"/>
          </rPr>
          <t xml:space="preserve">在建
</t>
        </r>
      </text>
    </comment>
    <comment ref="N59" authorId="1" shapeId="0" xr:uid="{17566877-6D2F-417C-A47E-E67ABB2C669E}">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3000000}">
      <text>
        <r>
          <rPr>
            <b/>
            <sz val="12"/>
            <color indexed="81"/>
            <rFont val="宋体"/>
            <family val="3"/>
            <charset val="134"/>
          </rPr>
          <t>所属项目品质或
物业管理</t>
        </r>
      </text>
    </comment>
    <comment ref="B90" authorId="0" shapeId="0" xr:uid="{00000000-0006-0000-1D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3000000}">
      <text>
        <r>
          <rPr>
            <b/>
            <sz val="12"/>
            <color indexed="81"/>
            <rFont val="宋体"/>
            <family val="3"/>
            <charset val="134"/>
          </rPr>
          <t>所属项目品质或
物业管理</t>
        </r>
      </text>
    </comment>
    <comment ref="B86" authorId="0" shapeId="0" xr:uid="{00000000-0006-0000-1E00-000004000000}">
      <text>
        <r>
          <rPr>
            <b/>
            <sz val="12"/>
            <color indexed="81"/>
            <rFont val="宋体"/>
            <family val="3"/>
            <charset val="134"/>
          </rPr>
          <t>所属项目品质</t>
        </r>
      </text>
    </comment>
    <comment ref="B89"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0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F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F00-000002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<sst xmlns="http://schemas.openxmlformats.org/spreadsheetml/2006/main" count="10915" uniqueCount="4728">
  <si>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</si>
  <si>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</si>
  <si>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</si>
  <si>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</si>
  <si>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</si>
  <si>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</si>
  <si>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</si>
  <si>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</si>
  <si>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</si>
  <si>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</si>
  <si>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</si>
  <si>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</si>
  <si>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</si>
  <si>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</si>
  <si>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</si>
  <si>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</si>
  <si>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</si>
  <si>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</si>
  <si>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</si>
  <si>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</si>
  <si>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</si>
  <si>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</si>
  <si>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</si>
  <si>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</si>
  <si>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</si>
  <si>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</si>
  <si>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</si>
  <si>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</si>
  <si>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</si>
  <si>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</si>
  <si>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</si>
  <si>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</si>
  <si>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</si>
  <si>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</si>
  <si>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</si>
  <si>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</si>
  <si>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</si>
  <si>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</si>
  <si>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</si>
  <si>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</si>
  <si>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</si>
  <si>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</si>
  <si>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</si>
  <si>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</si>
  <si>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</si>
  <si>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</si>
  <si>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</si>
  <si>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</si>
  <si>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</si>
  <si>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</si>
  <si>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</si>
  <si>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</si>
  <si>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</si>
  <si>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</si>
  <si>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</si>
  <si>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</si>
  <si>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</si>
  <si>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</si>
  <si>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</si>
  <si>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</si>
  <si>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</si>
  <si>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</si>
  <si>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</si>
  <si>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</si>
  <si>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</si>
  <si>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</si>
  <si>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</si>
  <si>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</si>
  <si>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</si>
  <si>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</si>
  <si>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</si>
  <si>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</si>
  <si>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</si>
  <si>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</si>
  <si>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</si>
  <si>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</si>
  <si>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</si>
  <si>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</si>
  <si>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</si>
  <si>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</si>
  <si>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</si>
  <si>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</si>
  <si>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</si>
  <si>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</si>
  <si>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</si>
  <si>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</si>
  <si>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</si>
  <si>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</si>
  <si>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</si>
  <si>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</si>
  <si>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</si>
  <si>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</si>
  <si>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</si>
  <si>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</si>
  <si>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</si>
  <si>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</si>
  <si>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</si>
  <si>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</si>
  <si>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</si>
  <si>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</si>
  <si>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</si>
  <si>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</si>
  <si>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</si>
  <si>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</si>
  <si>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</si>
  <si>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</si>
  <si>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</si>
  <si>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</si>
  <si>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</si>
  <si>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</si>
  <si>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</si>
  <si>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</si>
  <si>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</si>
  <si>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</si>
  <si>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</si>
  <si>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</si>
  <si>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</si>
  <si>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</si>
  <si>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</si>
  <si>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</si>
  <si>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</si>
  <si>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</si>
  <si>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</si>
  <si>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</si>
  <si>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</si>
  <si>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</si>
  <si>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</si>
  <si>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</si>
  <si>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</si>
  <si>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</si>
  <si>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</si>
  <si>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</si>
  <si>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</si>
  <si>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</si>
  <si>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</si>
  <si>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</si>
  <si>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</si>
  <si>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</si>
  <si>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</si>
  <si>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</si>
  <si>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</si>
  <si>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</si>
  <si>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</si>
  <si>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</si>
  <si>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</si>
  <si>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</si>
  <si>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</si>
  <si>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</si>
  <si>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</si>
  <si>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</si>
  <si>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</si>
  <si>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</si>
  <si>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</si>
  <si>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</si>
  <si>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</si>
  <si>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</si>
  <si>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</si>
  <si>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</si>
  <si>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</si>
  <si>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</si>
  <si>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</si>
  <si>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</si>
  <si>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</si>
  <si>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</si>
  <si>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</si>
  <si>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</si>
  <si>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</si>
  <si>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</si>
  <si>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</si>
  <si>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</si>
  <si>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</si>
  <si>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</si>
  <si>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</si>
  <si>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</si>
  <si>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</si>
  <si>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</si>
  <si>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</si>
  <si>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</si>
  <si>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</si>
  <si>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</si>
  <si>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</si>
  <si>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</si>
  <si>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</si>
  <si>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</si>
  <si>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</si>
  <si>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</si>
  <si>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</si>
  <si>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</si>
  <si>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</si>
  <si>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</si>
  <si>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</si>
  <si>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</si>
  <si>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</si>
  <si>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</si>
  <si>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</si>
  <si>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</si>
  <si>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</si>
  <si>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</si>
  <si>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</si>
  <si>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</si>
  <si>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</si>
  <si>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</si>
  <si>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</si>
  <si>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</si>
  <si>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</si>
  <si>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</si>
  <si>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</si>
  <si>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</si>
  <si>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</si>
  <si>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</si>
  <si>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</si>
  <si>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</si>
  <si>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</si>
  <si>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</si>
  <si>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</si>
  <si>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</si>
  <si>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</si>
  <si>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</si>
  <si>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</si>
  <si>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</si>
  <si>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</si>
  <si>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</si>
  <si>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</si>
  <si>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</si>
  <si>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</si>
  <si>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</si>
  <si>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</si>
  <si>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</si>
  <si>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</si>
  <si>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</si>
  <si>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</si>
  <si>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</si>
  <si>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</si>
  <si>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</si>
  <si>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</si>
  <si>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</si>
  <si>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</si>
  <si>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</si>
  <si>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</si>
  <si>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</si>
  <si>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</si>
  <si>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</si>
  <si>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</si>
  <si>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</si>
  <si>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</si>
  <si>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</si>
  <si>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</si>
  <si>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</si>
  <si>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</si>
  <si>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</si>
  <si>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</si>
  <si>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</si>
  <si>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</si>
  <si>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</si>
  <si>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</si>
  <si>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</si>
  <si>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</si>
  <si>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</si>
  <si>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</si>
  <si>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</si>
  <si>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</si>
  <si>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</si>
  <si>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</si>
  <si>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</si>
  <si>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</si>
  <si>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</si>
  <si>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</si>
  <si>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</si>
  <si>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</si>
  <si>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</si>
  <si>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</si>
  <si>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</si>
  <si>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</si>
  <si>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</si>
  <si>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</si>
  <si>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</si>
  <si>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</si>
  <si>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</si>
  <si>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</si>
  <si>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</si>
  <si>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</si>
  <si>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</si>
  <si>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</si>
  <si>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</si>
  <si>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</si>
  <si>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</si>
  <si>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</si>
  <si>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</si>
  <si>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</si>
  <si>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</si>
  <si>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</si>
  <si>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</si>
  <si>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</si>
  <si>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</si>
  <si>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</si>
  <si>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</si>
  <si>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</si>
  <si>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</si>
  <si>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</si>
  <si>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</si>
  <si>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</si>
  <si>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</si>
  <si>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</si>
  <si>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</si>
  <si>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</si>
  <si>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</si>
  <si>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</si>
  <si>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</si>
  <si>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</si>
  <si>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</si>
  <si>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</si>
  <si>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</si>
  <si>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</si>
  <si>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</si>
  <si>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</si>
  <si>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</si>
  <si>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</si>
  <si>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</si>
  <si>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</si>
  <si>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</si>
  <si>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</si>
  <si>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</si>
  <si>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</si>
  <si>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</si>
  <si>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</si>
  <si>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</si>
  <si>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</si>
  <si>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</si>
  <si>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</si>
  <si>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</si>
  <si>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</si>
  <si>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</si>
  <si>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</si>
  <si>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</si>
  <si>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</si>
  <si>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</si>
  <si>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</si>
  <si>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</si>
  <si>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</si>
  <si>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</si>
  <si>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</si>
  <si>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</si>
  <si>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</si>
  <si>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</si>
  <si>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</si>
  <si>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</si>
  <si>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</si>
  <si>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</si>
  <si>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</si>
  <si>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</si>
  <si>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</si>
  <si>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</si>
  <si>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</si>
  <si>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</si>
  <si>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</si>
  <si>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</si>
  <si>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</si>
  <si>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</si>
  <si>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</si>
  <si>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</si>
  <si>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</si>
  <si>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</si>
  <si>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</si>
  <si>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</si>
  <si>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</si>
  <si>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</si>
  <si>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</si>
  <si>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</si>
  <si>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</si>
  <si>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</si>
  <si>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</si>
  <si>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</si>
  <si>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</si>
  <si>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</si>
  <si>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</si>
  <si>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</si>
  <si>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</si>
  <si>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</si>
  <si>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</si>
  <si>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</si>
  <si>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</si>
  <si>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</si>
  <si>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</si>
  <si>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</si>
  <si>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</si>
  <si>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</si>
  <si>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</si>
  <si>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</si>
  <si>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</si>
  <si>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</si>
  <si>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</si>
  <si>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</si>
  <si>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</si>
  <si>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</si>
  <si>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</si>
  <si>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</si>
  <si>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</si>
  <si>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</si>
  <si>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</si>
  <si>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</si>
  <si>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</si>
  <si>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</si>
  <si>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</si>
  <si>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</si>
  <si>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</si>
  <si>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</si>
  <si>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</si>
  <si>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</si>
  <si>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</si>
  <si>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</si>
  <si>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</si>
  <si>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</si>
  <si>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</si>
  <si>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</si>
  <si>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</si>
  <si>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</si>
  <si>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</si>
  <si>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</si>
  <si>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</si>
  <si>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</si>
  <si>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</si>
  <si>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</si>
  <si>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</si>
  <si>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</si>
  <si>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</si>
  <si>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</si>
  <si>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</si>
  <si>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</si>
  <si>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</si>
  <si>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</si>
  <si>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</si>
  <si>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</si>
  <si>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</si>
  <si>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</si>
  <si>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</si>
  <si>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</si>
  <si>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</si>
  <si>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</si>
  <si>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</si>
  <si>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</si>
  <si>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</si>
  <si>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</si>
  <si>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</si>
  <si>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</si>
  <si>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</si>
  <si>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</si>
  <si>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</si>
  <si>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</si>
  <si>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</si>
  <si>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</si>
  <si>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</si>
  <si>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</si>
  <si>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</si>
  <si>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</si>
  <si>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</si>
  <si>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</si>
  <si>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</si>
  <si>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</si>
  <si>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</si>
  <si>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</si>
  <si>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</si>
  <si>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</si>
  <si>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</si>
  <si>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</si>
  <si>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</si>
  <si>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</si>
  <si>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</si>
  <si>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</si>
  <si>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</si>
  <si>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</si>
  <si>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</si>
  <si>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</si>
  <si>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</si>
  <si>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</si>
  <si>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</si>
  <si>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</si>
  <si>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</si>
  <si>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</si>
  <si>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</si>
  <si>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</si>
  <si>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</si>
  <si>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</si>
  <si>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</si>
  <si>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</si>
  <si>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</si>
  <si>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</si>
  <si>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</si>
  <si>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</si>
  <si>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</si>
  <si>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</si>
  <si>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</si>
  <si>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</si>
  <si>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</si>
  <si>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</si>
  <si>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</si>
  <si>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</si>
  <si>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</si>
  <si>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</si>
  <si>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</si>
  <si>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</si>
  <si>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</si>
  <si>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</si>
  <si>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</si>
  <si>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</si>
  <si>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</si>
  <si>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</si>
  <si>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</si>
  <si>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</si>
  <si>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</si>
  <si>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</si>
  <si>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</si>
  <si>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</si>
  <si>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</si>
  <si>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</si>
  <si>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</si>
  <si>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</si>
  <si>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</si>
  <si>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</si>
  <si>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</si>
  <si>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</si>
  <si>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</si>
  <si>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</si>
  <si>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</si>
  <si>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</si>
  <si>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</si>
  <si>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</si>
  <si>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</si>
  <si>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</si>
  <si>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</si>
  <si>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</si>
  <si>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</si>
  <si>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</si>
  <si>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</si>
  <si>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</si>
  <si>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</si>
  <si>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</si>
  <si>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</si>
  <si>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</si>
  <si>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</si>
  <si>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</si>
  <si>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</si>
  <si>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</si>
  <si>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</si>
  <si>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</si>
  <si>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</si>
  <si>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</si>
  <si>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</si>
  <si>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</si>
  <si>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</si>
  <si>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</si>
  <si>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</si>
  <si>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</si>
  <si>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</si>
  <si>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</si>
  <si>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</si>
  <si>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</si>
  <si>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</si>
  <si>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</si>
  <si>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</si>
  <si>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</si>
  <si>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</si>
  <si>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</si>
  <si>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</si>
  <si>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</si>
  <si>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</si>
  <si>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</si>
  <si>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</si>
  <si>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</si>
  <si>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</si>
  <si>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</si>
  <si>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</si>
  <si>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</si>
  <si>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</si>
  <si>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</si>
  <si>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</si>
  <si>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</si>
  <si>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</si>
  <si>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</si>
  <si>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</si>
  <si>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</si>
  <si>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</si>
  <si>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</si>
  <si>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</si>
  <si>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</si>
  <si>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</si>
  <si>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</si>
  <si>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</si>
  <si>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</si>
  <si>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</si>
  <si>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</si>
  <si>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</si>
  <si>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</si>
  <si>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</si>
  <si>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</si>
  <si>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</si>
  <si>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</si>
  <si>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</si>
  <si>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</si>
  <si>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</si>
  <si>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</si>
  <si>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</si>
  <si>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</si>
  <si>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</si>
  <si>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</si>
  <si>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</si>
  <si>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</si>
  <si>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</si>
  <si>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</si>
  <si>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</si>
  <si>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</si>
  <si>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</si>
  <si>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</si>
  <si>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</si>
  <si>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</si>
  <si>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</si>
  <si>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</si>
  <si>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</si>
  <si>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</si>
  <si>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</si>
  <si>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</si>
  <si>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</si>
  <si>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</si>
  <si>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</si>
  <si>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</si>
  <si>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</si>
  <si>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</si>
  <si>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</si>
  <si>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</si>
  <si>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</si>
  <si>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</si>
  <si>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</si>
  <si>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</si>
  <si>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</si>
  <si>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</si>
  <si>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</si>
  <si>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</si>
  <si>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</si>
  <si>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</si>
  <si>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</si>
  <si>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</si>
  <si>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</si>
  <si>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</si>
  <si>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</si>
  <si>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</si>
  <si>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</si>
  <si>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</si>
  <si>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</si>
  <si>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</si>
  <si>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</si>
  <si>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</si>
  <si>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</si>
  <si>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</si>
  <si>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</si>
  <si>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</si>
  <si>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</si>
  <si>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</si>
  <si>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</si>
  <si>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</si>
  <si>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</si>
  <si>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</si>
  <si>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</si>
  <si>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</si>
  <si>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</si>
  <si>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</si>
  <si>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</si>
  <si>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</si>
  <si>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</si>
  <si>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</si>
  <si>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</si>
  <si>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</si>
  <si>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</si>
  <si>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</si>
  <si>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</si>
  <si>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</si>
  <si>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</si>
  <si>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</si>
  <si>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</si>
  <si>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</si>
  <si>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</si>
  <si>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</si>
  <si>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</si>
  <si>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</si>
  <si>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</si>
  <si>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</si>
  <si>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</si>
  <si>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</si>
  <si>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</si>
  <si>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</si>
  <si>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</si>
  <si>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</si>
  <si>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</si>
  <si>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</si>
  <si>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</si>
  <si>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</si>
  <si>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</si>
  <si>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</si>
  <si>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</si>
  <si>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</si>
  <si>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</si>
  <si>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</si>
  <si>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</si>
  <si>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</si>
  <si>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</si>
  <si>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</si>
  <si>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</si>
  <si>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</si>
  <si>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</si>
  <si>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</si>
  <si>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</si>
  <si>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</si>
  <si>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</si>
  <si>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</si>
  <si>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</si>
  <si>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</si>
  <si>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</si>
  <si>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</si>
  <si>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</si>
  <si>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</si>
  <si>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</si>
  <si>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</si>
  <si>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</si>
  <si>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</si>
  <si>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</si>
  <si>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</si>
  <si>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</si>
  <si>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</si>
  <si>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</si>
  <si>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</si>
  <si>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</si>
  <si>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</si>
  <si>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</si>
  <si>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</si>
  <si>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</si>
  <si>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</si>
  <si>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</si>
  <si>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</si>
  <si>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</si>
  <si>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</si>
  <si>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</si>
  <si>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</si>
  <si>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</si>
  <si>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</si>
  <si>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</si>
  <si>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</si>
  <si>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</si>
  <si>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</si>
  <si>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</si>
  <si>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</si>
  <si>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</si>
  <si>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</si>
  <si>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</si>
  <si>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</si>
  <si>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</si>
  <si>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</si>
  <si>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</si>
  <si>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</si>
  <si>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</si>
  <si>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</si>
  <si>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</si>
  <si>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</si>
  <si>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</si>
  <si>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</si>
  <si>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</si>
  <si>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</si>
  <si>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</si>
  <si>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</si>
  <si>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</si>
  <si>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</si>
  <si>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</si>
  <si>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</si>
  <si>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</si>
  <si>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</si>
  <si>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</si>
  <si>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</si>
  <si>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</si>
  <si>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</si>
  <si>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</si>
  <si>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</si>
  <si>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</si>
  <si>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</si>
  <si>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</si>
  <si>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</si>
  <si>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</si>
  <si>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</si>
  <si>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</si>
  <si>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</si>
  <si>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</si>
  <si>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</si>
  <si>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</si>
  <si>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</si>
  <si>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</si>
  <si>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</si>
  <si>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</si>
  <si>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</si>
  <si>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</si>
  <si>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</si>
  <si>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</si>
  <si>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</si>
  <si>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</si>
  <si>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</si>
  <si>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</si>
  <si>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</si>
  <si>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</si>
  <si>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</si>
  <si>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</si>
  <si>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</si>
  <si>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</si>
  <si>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</si>
  <si>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</si>
  <si>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</si>
  <si>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</si>
  <si>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</si>
  <si>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</si>
  <si>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</si>
  <si>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</si>
  <si>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</si>
  <si>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</si>
  <si>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</si>
  <si>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</si>
  <si>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</si>
  <si>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</si>
  <si>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</si>
  <si>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</si>
  <si>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</si>
  <si>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</si>
  <si>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</si>
  <si>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</si>
  <si>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</si>
  <si>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</si>
  <si>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</si>
  <si>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</si>
  <si>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</si>
  <si>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</si>
  <si>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</si>
  <si>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</si>
  <si>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</si>
  <si>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</si>
  <si>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</si>
  <si>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</si>
  <si>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</si>
  <si>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</si>
  <si>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</si>
  <si>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</si>
  <si>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</si>
  <si>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</si>
  <si>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</si>
  <si>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</si>
  <si>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</si>
  <si>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</si>
  <si>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</si>
  <si>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</si>
  <si>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</si>
  <si>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</si>
  <si>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</si>
  <si>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</si>
  <si>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</si>
  <si>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</si>
  <si>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</si>
  <si>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</si>
  <si>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</si>
  <si>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</si>
  <si>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</si>
  <si>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</si>
  <si>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</si>
  <si>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</si>
  <si>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</si>
  <si>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</si>
  <si>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</si>
  <si>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</si>
  <si>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</si>
  <si>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</si>
  <si>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</si>
  <si>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</si>
  <si>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</si>
  <si>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</si>
  <si>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</si>
  <si>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</si>
  <si>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</si>
  <si>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</si>
  <si>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</si>
  <si>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</si>
  <si>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</si>
  <si>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</si>
  <si>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</si>
  <si>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</si>
  <si>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</si>
  <si>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</si>
  <si>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</si>
  <si>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</si>
  <si>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</si>
  <si>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</si>
  <si>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</si>
  <si>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</si>
  <si>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</si>
  <si>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</si>
  <si>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</si>
  <si>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</si>
  <si>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</si>
  <si>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</si>
  <si>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</si>
  <si>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</si>
  <si>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</si>
  <si>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</si>
  <si>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</si>
  <si>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</si>
  <si>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</si>
  <si>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</si>
  <si>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</si>
  <si>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</si>
  <si>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</si>
  <si>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</si>
  <si>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</si>
  <si>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</si>
  <si>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</si>
  <si>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</si>
  <si>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</si>
  <si>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</si>
  <si>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</si>
  <si>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</si>
  <si>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</si>
  <si>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</si>
  <si>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</si>
  <si>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</si>
  <si>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</si>
  <si>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</si>
  <si>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</si>
  <si>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</si>
  <si>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</si>
  <si>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</si>
  <si>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</si>
  <si>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</si>
  <si>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</si>
  <si>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</si>
  <si>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</si>
  <si>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</si>
  <si>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</si>
  <si>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</si>
  <si>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</si>
  <si>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</si>
  <si>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</si>
  <si>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</si>
  <si>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</si>
  <si>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</si>
  <si>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</si>
  <si>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</si>
  <si>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</si>
  <si>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</si>
  <si>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</si>
  <si>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</si>
  <si>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</si>
  <si>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</si>
  <si>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</si>
  <si>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</si>
  <si>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</si>
  <si>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</si>
  <si>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</si>
  <si>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</si>
  <si>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</si>
  <si>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</si>
  <si>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</si>
  <si>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</si>
  <si>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</si>
  <si>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</si>
  <si>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</si>
  <si>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</si>
  <si>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</si>
  <si>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</si>
  <si>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</si>
  <si>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</si>
  <si>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</si>
  <si>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</si>
  <si>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</si>
  <si>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</si>
  <si>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</si>
  <si>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</si>
  <si>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</si>
  <si>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</si>
  <si>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</si>
  <si>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</si>
  <si>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</si>
  <si>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</si>
  <si>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</si>
  <si>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</si>
  <si>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</si>
  <si>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</si>
  <si>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</si>
  <si>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</si>
  <si>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</si>
  <si>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</si>
  <si>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</si>
  <si>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</si>
  <si>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</si>
  <si>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</si>
  <si>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</si>
  <si>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</si>
  <si>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</si>
  <si>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</si>
  <si>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</si>
  <si>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</si>
  <si>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</si>
  <si>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</si>
  <si>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</si>
  <si>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</si>
  <si>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</si>
  <si>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</si>
  <si>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</si>
  <si>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</si>
  <si>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</si>
  <si>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</si>
  <si>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</si>
  <si>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</si>
  <si>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</si>
  <si>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</si>
  <si>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</si>
  <si>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</si>
  <si>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</si>
  <si>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</si>
  <si>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</si>
  <si>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</si>
  <si>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</si>
  <si>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</si>
  <si>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</si>
  <si>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</si>
  <si>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</si>
  <si>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</si>
  <si>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</si>
  <si>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</si>
  <si>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</si>
  <si>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</si>
  <si>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</si>
  <si>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</si>
  <si>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</si>
  <si>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</si>
  <si>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</si>
  <si>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</si>
  <si>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</si>
  <si>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</si>
  <si>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</si>
  <si>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</si>
  <si>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</si>
  <si>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</si>
  <si>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</si>
  <si>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</si>
  <si>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</si>
  <si>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</si>
  <si>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</si>
  <si>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</si>
  <si>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</si>
  <si>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</si>
  <si>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</si>
  <si>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</si>
  <si>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</si>
  <si>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</si>
  <si>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</si>
  <si>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</si>
  <si>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</si>
  <si>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</si>
  <si>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</si>
  <si>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</si>
  <si>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</si>
  <si>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</si>
  <si>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</si>
  <si>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</si>
  <si>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</si>
  <si>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</si>
  <si>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</si>
  <si>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</si>
  <si>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</si>
  <si>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</si>
  <si>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</si>
  <si>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</si>
  <si>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</si>
  <si>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</si>
  <si>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</si>
  <si>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</si>
  <si>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</si>
  <si>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</si>
  <si>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</si>
  <si>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</si>
  <si>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</si>
  <si>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</si>
  <si>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</si>
  <si>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</si>
  <si>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</si>
  <si>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</si>
  <si>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</si>
  <si>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</si>
  <si>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</si>
  <si>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</si>
  <si>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</si>
  <si>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</si>
  <si>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</si>
  <si>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</si>
  <si>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</si>
  <si>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</si>
  <si>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</si>
  <si>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</si>
  <si>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</si>
  <si>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</si>
  <si>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</si>
  <si>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</si>
  <si>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</si>
  <si>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</si>
  <si>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</si>
  <si>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</si>
  <si>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</si>
  <si>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</si>
  <si>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</si>
  <si>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</si>
  <si>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</si>
  <si>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</si>
  <si>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</si>
  <si>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</si>
  <si>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</si>
  <si>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</si>
  <si>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</si>
  <si>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</si>
  <si>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</si>
  <si>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</si>
  <si>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</si>
  <si>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</si>
  <si>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</si>
  <si>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</si>
  <si>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</si>
  <si>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</si>
  <si>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</si>
  <si>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</si>
  <si>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</si>
  <si>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</si>
  <si>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</si>
  <si>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</si>
  <si>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</si>
  <si>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</si>
  <si>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</si>
  <si>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</si>
  <si>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</si>
  <si>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</si>
  <si>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</si>
  <si>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</si>
  <si>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</si>
  <si>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</si>
  <si>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</si>
  <si>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</si>
  <si>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</si>
  <si>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</si>
  <si>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</si>
  <si>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</si>
  <si>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</si>
  <si>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</si>
  <si>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</si>
  <si>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</si>
  <si>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</si>
  <si>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</si>
  <si>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</si>
  <si>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</si>
  <si>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</si>
  <si>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</si>
  <si>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</si>
  <si>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</si>
  <si>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</si>
  <si>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</si>
  <si>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</si>
  <si>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</si>
  <si>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</si>
  <si>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</si>
  <si>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</si>
  <si>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</si>
  <si>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</si>
  <si>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</si>
  <si>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</si>
  <si>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</si>
  <si>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</si>
  <si>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</si>
  <si>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</si>
  <si>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</si>
  <si>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</si>
  <si>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</si>
  <si>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</si>
  <si>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</si>
  <si>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</si>
  <si>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</si>
  <si>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</si>
  <si>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</si>
  <si>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</si>
  <si>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</si>
  <si>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</si>
  <si>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</si>
  <si>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</si>
  <si>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</si>
  <si>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</si>
  <si>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</si>
  <si>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</si>
  <si>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</si>
  <si>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</si>
  <si>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</si>
  <si>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</si>
  <si>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</si>
  <si>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</si>
  <si>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</si>
  <si>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</si>
  <si>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</si>
  <si>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</si>
  <si>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</si>
  <si>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</si>
  <si>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</si>
  <si>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</si>
  <si>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</si>
  <si>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</si>
  <si>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</si>
  <si>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</si>
  <si>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</si>
  <si>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</si>
  <si>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</si>
  <si>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</si>
  <si>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</si>
  <si>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</si>
  <si>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</si>
  <si>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</si>
  <si>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</si>
  <si>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</si>
  <si>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</si>
  <si>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</si>
  <si>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</si>
  <si>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</si>
  <si>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</si>
  <si>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</si>
  <si>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</si>
  <si>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</si>
  <si>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</si>
  <si>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</si>
  <si>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</si>
  <si>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</si>
  <si>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</si>
  <si>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</si>
  <si>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</si>
  <si>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</si>
  <si>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</si>
  <si>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</si>
  <si>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</si>
  <si>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</si>
  <si>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</si>
  <si>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</si>
  <si>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</si>
  <si>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</si>
  <si>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</si>
  <si>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</si>
  <si>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</si>
  <si>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</si>
  <si>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</si>
  <si>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</si>
  <si>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</si>
  <si>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</si>
  <si>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</si>
  <si>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</si>
  <si>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</si>
  <si>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</si>
  <si>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</si>
  <si>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</si>
  <si>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</si>
  <si>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</si>
  <si>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</si>
  <si>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</si>
  <si>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</si>
  <si>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</si>
  <si>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</si>
  <si>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</si>
  <si>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</si>
  <si>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</si>
  <si>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</si>
  <si>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</si>
  <si>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</si>
  <si>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</si>
  <si>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</si>
  <si>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</si>
  <si>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</si>
  <si>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</si>
  <si>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</si>
  <si>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</si>
  <si>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</si>
  <si>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</si>
  <si>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</si>
  <si>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</si>
  <si>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</si>
  <si>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</si>
  <si>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</si>
  <si>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</si>
  <si>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</si>
  <si>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</si>
  <si>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</si>
  <si>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</si>
  <si>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</si>
  <si>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</si>
  <si>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</si>
  <si>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</si>
  <si>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</si>
  <si>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</si>
  <si>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</si>
  <si>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</si>
  <si>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</si>
  <si>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</si>
  <si>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</si>
  <si>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</si>
  <si>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</si>
  <si>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</si>
  <si>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</si>
  <si>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</si>
  <si>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</si>
  <si>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</si>
  <si>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</si>
  <si>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</si>
  <si>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</si>
  <si>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</si>
  <si>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</si>
  <si>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</si>
  <si>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</si>
  <si>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</si>
  <si>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</si>
  <si>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</si>
  <si>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</si>
  <si>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</si>
  <si>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</si>
  <si>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</si>
  <si>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</si>
  <si>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</si>
  <si>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</si>
  <si>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</si>
  <si>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</si>
  <si>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</si>
  <si>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</si>
  <si>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</si>
  <si>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</si>
  <si>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</si>
  <si>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</si>
  <si>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</si>
  <si>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</si>
  <si>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</si>
  <si>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</si>
  <si>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</si>
  <si>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</si>
  <si>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</si>
  <si>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</si>
  <si>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</si>
  <si>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</si>
  <si>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</si>
  <si>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</si>
  <si>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</si>
  <si>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</si>
  <si>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</si>
  <si>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</si>
  <si>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</si>
  <si>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</si>
  <si>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</si>
  <si>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</si>
  <si>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</si>
  <si>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</si>
  <si>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</si>
  <si>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</si>
  <si>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</si>
  <si>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</si>
  <si>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</si>
  <si>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</si>
  <si>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</si>
  <si>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</si>
  <si>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</si>
  <si>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</si>
  <si>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</si>
  <si>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</si>
  <si>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</si>
  <si>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</si>
  <si>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</si>
  <si>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</si>
  <si>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</si>
  <si>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</si>
  <si>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</si>
  <si>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</si>
  <si>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</si>
  <si>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</si>
  <si>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</si>
  <si>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</si>
  <si>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</si>
  <si>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</si>
  <si>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</si>
  <si>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</si>
  <si>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</si>
  <si>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</si>
  <si>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</si>
  <si>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</si>
  <si>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</si>
  <si>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</si>
  <si>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</si>
  <si>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</si>
  <si>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</si>
  <si>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</si>
  <si>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</si>
  <si>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</si>
  <si>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</si>
  <si>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</si>
  <si>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</si>
  <si>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</si>
  <si>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</si>
  <si>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</si>
  <si>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</si>
  <si>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</si>
  <si>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</si>
  <si>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</si>
  <si>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</si>
  <si>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</si>
  <si>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</si>
  <si>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</si>
  <si>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</si>
  <si>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</si>
  <si>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</si>
  <si>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</si>
  <si>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</si>
  <si>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</si>
  <si>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</si>
  <si>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</si>
  <si>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</si>
  <si>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</si>
  <si>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</si>
  <si>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</si>
  <si>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</si>
  <si>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</si>
  <si>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</si>
  <si>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</si>
  <si>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</si>
  <si>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</si>
  <si>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</si>
  <si>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</si>
  <si>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</si>
  <si>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</si>
  <si>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</si>
  <si>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</si>
  <si>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</si>
  <si>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</si>
  <si>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</si>
  <si>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</si>
  <si>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</si>
  <si>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</si>
  <si>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</si>
  <si>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</si>
  <si>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</si>
  <si>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</si>
  <si>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</si>
  <si>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</si>
  <si>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</si>
  <si>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</si>
  <si>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</si>
  <si>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</si>
  <si>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</si>
  <si>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</si>
  <si>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</si>
  <si>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</si>
  <si>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</si>
  <si>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</si>
  <si>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</si>
  <si>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</si>
  <si>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</si>
  <si>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</si>
  <si>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</si>
  <si>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</si>
  <si>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</si>
  <si>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</si>
  <si>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</si>
  <si>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</si>
  <si>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</si>
  <si>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</si>
  <si>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</si>
  <si>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</si>
  <si>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</si>
  <si>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</si>
  <si>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</si>
  <si>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</si>
  <si>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</si>
  <si>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</si>
  <si>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</si>
  <si>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</si>
  <si>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</si>
  <si>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</si>
  <si>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</si>
  <si>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</si>
  <si>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</si>
  <si>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</si>
  <si>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</si>
  <si>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</si>
  <si>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</si>
  <si>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</si>
  <si>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</si>
  <si>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</si>
  <si>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</si>
  <si>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</si>
  <si>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</si>
  <si>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</si>
  <si>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</si>
  <si>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</si>
  <si>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</si>
  <si>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</si>
  <si>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</si>
  <si>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</si>
  <si>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</si>
  <si>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</si>
  <si>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</si>
  <si>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</si>
  <si>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</si>
  <si>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</si>
  <si>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</si>
  <si>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</si>
  <si>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</si>
  <si>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</si>
  <si>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</si>
  <si>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</si>
  <si>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</si>
  <si>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</si>
  <si>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</si>
  <si>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</si>
  <si>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</si>
  <si>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</si>
  <si>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</si>
  <si>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</si>
  <si>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</si>
  <si>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</si>
  <si>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</si>
  <si>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</si>
  <si>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</si>
  <si>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</si>
  <si>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</si>
  <si>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</si>
  <si>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</si>
  <si>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</si>
  <si>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</si>
  <si>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</si>
  <si>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</si>
  <si>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</si>
  <si>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</si>
  <si>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</si>
  <si>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</si>
  <si>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</si>
  <si>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</si>
  <si>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</si>
  <si>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</si>
  <si>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</si>
  <si>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</si>
  <si>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</si>
  <si>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</si>
  <si>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</si>
  <si>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</si>
  <si>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</si>
  <si>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</si>
  <si>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</si>
  <si>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</si>
  <si>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</si>
  <si>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</si>
  <si>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</si>
  <si>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</si>
  <si>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</si>
  <si>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</si>
  <si>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</si>
  <si>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</si>
  <si>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</si>
  <si>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</si>
  <si>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</si>
  <si>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</si>
  <si>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</si>
  <si>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</si>
  <si>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</si>
  <si>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</si>
  <si>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</si>
  <si>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</si>
  <si>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</si>
  <si>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</si>
  <si>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</si>
  <si>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</si>
  <si>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</si>
  <si>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</si>
  <si>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</si>
  <si>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</si>
  <si>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</si>
  <si>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</si>
  <si>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</si>
  <si>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</si>
  <si>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</si>
  <si>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</si>
  <si>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</si>
  <si>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</si>
  <si>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</si>
  <si>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</si>
  <si>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</si>
  <si>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</si>
  <si>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</si>
  <si>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</si>
  <si>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</si>
  <si>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</si>
  <si>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</si>
  <si>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</si>
  <si>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</si>
  <si>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</si>
  <si>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</si>
  <si>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</si>
  <si>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</si>
  <si>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</si>
  <si>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</si>
  <si>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</si>
  <si>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</si>
  <si>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</si>
  <si>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</si>
  <si>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</si>
  <si>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</si>
  <si>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</si>
  <si>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</si>
  <si>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</si>
  <si>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</si>
  <si>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</si>
  <si>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</si>
  <si>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</si>
  <si>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</si>
  <si>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</si>
  <si>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</si>
  <si>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</si>
  <si>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</si>
  <si>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</si>
  <si>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</si>
  <si>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</si>
  <si>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</si>
  <si>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</si>
  <si>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</si>
  <si>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</si>
  <si>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</si>
  <si>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</si>
  <si>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</si>
  <si>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</si>
  <si>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</si>
  <si>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</si>
  <si>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</si>
  <si>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</si>
  <si>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</si>
  <si>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</si>
  <si>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</si>
  <si>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</si>
  <si>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</si>
  <si>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</si>
  <si>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</si>
  <si>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</si>
  <si>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</si>
  <si>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</si>
  <si>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</si>
  <si>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</si>
  <si>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</si>
  <si>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</si>
  <si>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</si>
  <si>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</si>
  <si>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</si>
  <si>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</si>
  <si>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</si>
  <si>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</si>
  <si>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</si>
  <si>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</si>
  <si>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</si>
  <si>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</si>
  <si>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</si>
  <si>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</si>
  <si>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</si>
  <si>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</si>
  <si>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</si>
  <si>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</si>
  <si>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</si>
  <si>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</si>
  <si>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</si>
  <si>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</si>
  <si>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</si>
  <si>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</si>
  <si>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</si>
  <si>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</si>
  <si>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</si>
  <si>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</si>
  <si>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</si>
  <si>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</si>
  <si>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</si>
  <si>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</si>
  <si>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</si>
  <si>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</si>
  <si>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</si>
  <si>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</si>
  <si>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</si>
  <si>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</si>
  <si>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</si>
  <si>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</si>
  <si>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</si>
  <si>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</si>
  <si>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</si>
  <si>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</si>
  <si>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</si>
  <si>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</si>
  <si>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</si>
  <si>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</si>
  <si>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</si>
  <si>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</si>
  <si>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</si>
  <si>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</si>
  <si>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</si>
  <si>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</si>
  <si>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</si>
  <si>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</si>
  <si>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</si>
  <si>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</si>
  <si>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</si>
  <si>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</si>
  <si>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</si>
  <si>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</si>
  <si>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</si>
  <si>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</si>
  <si>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</si>
  <si>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</si>
  <si>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</si>
  <si>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</si>
  <si>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</si>
  <si>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</si>
  <si>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</si>
  <si>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</si>
  <si>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</si>
  <si>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</si>
  <si>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</si>
  <si>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</si>
  <si>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</si>
  <si>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</si>
  <si>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</si>
  <si>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</si>
  <si>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</si>
  <si>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</si>
  <si>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</si>
  <si>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</si>
  <si>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</si>
  <si>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</si>
  <si>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</si>
  <si>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</si>
  <si>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</si>
  <si>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</si>
  <si>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</si>
  <si>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</si>
  <si>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</si>
  <si>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</si>
  <si>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</si>
  <si>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</si>
  <si>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</si>
  <si>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</si>
  <si>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</si>
  <si>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</si>
  <si>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</si>
  <si>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</si>
  <si>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</si>
  <si>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</si>
  <si>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</si>
  <si>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</si>
  <si>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</si>
  <si>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</si>
  <si>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</si>
  <si>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</si>
  <si>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</si>
  <si>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</si>
  <si>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</si>
  <si>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</si>
  <si>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</si>
  <si>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</si>
  <si>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</si>
  <si>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</si>
  <si>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</si>
  <si>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</si>
  <si>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</si>
  <si>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</si>
  <si>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</si>
  <si>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</si>
  <si>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</si>
  <si>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</si>
  <si>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</si>
  <si>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</si>
  <si>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</si>
  <si>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</si>
  <si>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</si>
  <si>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</si>
  <si>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</si>
  <si>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</si>
  <si>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</si>
  <si>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</si>
  <si>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</si>
  <si>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</si>
  <si>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</si>
  <si>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</si>
  <si>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</si>
  <si>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</si>
  <si>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</si>
  <si>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</si>
  <si>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</si>
  <si>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</si>
  <si>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</si>
  <si>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</si>
  <si>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</si>
  <si>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</si>
  <si>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</si>
  <si>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</si>
  <si>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</si>
  <si>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</si>
  <si>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</si>
  <si>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</si>
  <si>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</si>
  <si>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</si>
  <si>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</si>
  <si>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</si>
  <si>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</si>
  <si>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</si>
  <si>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</si>
  <si>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</si>
  <si>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</si>
  <si>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</si>
  <si>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</si>
  <si>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</si>
  <si>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</si>
  <si>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</si>
  <si>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</si>
  <si>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</si>
  <si>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</si>
  <si>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</si>
  <si>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</si>
  <si>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</si>
  <si>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</si>
  <si>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</si>
  <si>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</si>
  <si>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</si>
  <si>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</si>
  <si>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</si>
  <si>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</si>
  <si>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</si>
  <si>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</si>
  <si>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</si>
  <si>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</si>
  <si>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</si>
  <si>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</si>
  <si>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</si>
  <si>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</si>
  <si>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</si>
  <si>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</si>
  <si>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</si>
  <si>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</si>
  <si>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</si>
  <si>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</si>
  <si>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</si>
  <si>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</si>
  <si>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</si>
  <si>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</si>
  <si>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</si>
  <si>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</si>
  <si>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</si>
  <si>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</si>
  <si>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</si>
  <si>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</si>
  <si>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</si>
  <si>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</si>
  <si>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</si>
  <si>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</si>
  <si>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</si>
  <si>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</si>
  <si>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</si>
  <si>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</si>
  <si>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</si>
  <si>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</si>
  <si>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</si>
  <si>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</si>
  <si>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</si>
  <si>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</si>
  <si>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</si>
  <si>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</si>
  <si>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</si>
  <si>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</si>
  <si>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</si>
  <si>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</si>
  <si>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</si>
  <si>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</si>
  <si>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</si>
  <si>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</si>
  <si>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</si>
  <si>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</si>
  <si>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</si>
  <si>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</si>
  <si>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</si>
  <si>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</si>
  <si>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</si>
  <si>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</si>
  <si>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</si>
  <si>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</si>
  <si>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</si>
  <si>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</si>
  <si>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</si>
  <si>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</si>
  <si>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</si>
  <si>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</si>
  <si>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</si>
  <si>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</si>
  <si>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</si>
  <si>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</si>
  <si>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</si>
  <si>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</si>
  <si>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</si>
  <si>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</si>
  <si>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</si>
  <si>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</si>
  <si>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</si>
  <si>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</si>
  <si>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</si>
  <si>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</si>
  <si>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</si>
  <si>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</si>
  <si>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</si>
  <si>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</si>
  <si>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</si>
  <si>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</si>
  <si>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</si>
  <si>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</si>
  <si>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</si>
  <si>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</si>
  <si>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</si>
  <si>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</si>
  <si>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</si>
  <si>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</si>
  <si>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</si>
  <si>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</si>
  <si>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</si>
  <si>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</si>
  <si>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</si>
  <si>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</si>
  <si>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</si>
  <si>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</si>
  <si>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</si>
  <si>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</si>
  <si>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</si>
  <si>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</si>
  <si>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</si>
  <si>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</si>
  <si>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</si>
  <si>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</si>
  <si>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</si>
  <si>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</si>
  <si>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</si>
  <si>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</si>
  <si>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</si>
  <si>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</si>
  <si>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</si>
  <si>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</si>
  <si>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</si>
  <si>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</si>
  <si>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</si>
  <si>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</si>
  <si>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</si>
  <si>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</si>
  <si>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</si>
  <si>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</si>
  <si>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</si>
  <si>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</si>
  <si>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</si>
  <si>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</si>
  <si>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</si>
  <si>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</si>
  <si>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</si>
  <si>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</si>
  <si>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</si>
  <si>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</si>
  <si>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</si>
  <si>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</si>
  <si>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</si>
  <si>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</si>
  <si>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</si>
  <si>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</si>
  <si>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</si>
  <si>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</si>
  <si>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</si>
  <si>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</si>
  <si>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</si>
  <si>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</si>
  <si>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</si>
  <si>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</si>
  <si>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</si>
  <si>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</si>
  <si>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</si>
  <si>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</si>
  <si>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</si>
  <si>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</si>
  <si>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</si>
  <si>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</si>
  <si>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</si>
  <si>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</si>
  <si>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</si>
  <si>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</si>
  <si>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</si>
  <si>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</si>
  <si>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</si>
  <si>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</si>
  <si>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</si>
  <si>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</si>
  <si>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</si>
  <si>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</si>
  <si>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</si>
  <si>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</si>
  <si>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</si>
  <si>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</si>
  <si>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</si>
  <si>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</si>
  <si>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</si>
  <si>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</si>
  <si>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</si>
  <si>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</si>
  <si>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</si>
  <si>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</si>
  <si>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</si>
  <si>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</si>
  <si>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</si>
  <si>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</si>
  <si>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</si>
  <si>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</si>
  <si>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</si>
  <si>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</si>
  <si>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</si>
  <si>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</si>
  <si>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</si>
  <si>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</si>
  <si>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</si>
  <si>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</si>
  <si>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</si>
  <si>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</si>
  <si>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</si>
  <si>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</si>
  <si>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</si>
  <si>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</si>
  <si>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</si>
  <si>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</si>
  <si>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</si>
  <si>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</si>
  <si>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</si>
  <si>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</si>
  <si>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</si>
  <si>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</si>
  <si>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</si>
  <si>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</si>
  <si>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</si>
  <si>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</si>
  <si>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</si>
  <si>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</si>
  <si>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</si>
  <si>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</si>
  <si>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</si>
  <si>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</si>
  <si>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</si>
  <si>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</si>
  <si>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</si>
  <si>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</si>
  <si>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</si>
  <si>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</si>
  <si>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</si>
  <si>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</si>
  <si>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</si>
  <si>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</si>
  <si>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</si>
  <si>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</si>
  <si>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</si>
  <si>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</si>
  <si>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</si>
  <si>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</si>
  <si>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</si>
  <si>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</si>
  <si>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</si>
  <si>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</si>
  <si>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</si>
  <si>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</si>
  <si>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</si>
  <si>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</si>
  <si>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</si>
  <si>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</si>
  <si>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</si>
  <si>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</si>
  <si>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</si>
  <si>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</si>
  <si>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</si>
  <si>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</si>
  <si>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</si>
  <si>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</si>
  <si>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</si>
  <si>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</si>
  <si>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</si>
  <si>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</si>
  <si>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</si>
  <si>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</si>
  <si>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</si>
  <si>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</si>
  <si>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</si>
  <si>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</si>
  <si>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</si>
  <si>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</si>
  <si>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</si>
  <si>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</si>
  <si>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</si>
  <si>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</si>
  <si>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</si>
  <si>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</si>
  <si>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</si>
  <si>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</si>
  <si>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</si>
  <si>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</si>
  <si>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</si>
  <si>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</si>
  <si>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</si>
  <si>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</si>
  <si>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</si>
  <si>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</si>
  <si>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</si>
  <si>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</si>
  <si>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</si>
  <si>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</si>
  <si>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</si>
  <si>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</si>
  <si>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</si>
  <si>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</si>
  <si>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</si>
  <si>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</si>
  <si>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</si>
  <si>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</si>
  <si>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</si>
  <si>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</si>
  <si>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</si>
  <si>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</si>
  <si>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</si>
  <si>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</si>
  <si>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</si>
  <si>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</si>
  <si>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</si>
  <si>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</si>
  <si>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</si>
  <si>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</si>
  <si>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</si>
  <si>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</si>
  <si>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</si>
  <si>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</si>
  <si>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</si>
  <si>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</si>
  <si>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</si>
  <si>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</si>
  <si>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</si>
  <si>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</si>
  <si>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</si>
  <si>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</si>
  <si>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</si>
  <si>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</si>
  <si>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</si>
  <si>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</si>
  <si>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</si>
  <si>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</si>
  <si>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</si>
  <si>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</si>
  <si>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</si>
  <si>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</si>
  <si>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</si>
  <si>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</si>
  <si>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</si>
  <si>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</si>
  <si>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</si>
  <si>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</si>
  <si>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</si>
  <si>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</si>
  <si>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</si>
  <si>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</si>
  <si>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</si>
  <si>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</si>
  <si>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</si>
  <si>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</si>
  <si>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</si>
  <si>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</si>
  <si>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</si>
  <si>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</si>
  <si>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</si>
  <si>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</si>
  <si>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</si>
  <si>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</si>
  <si>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</si>
  <si>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</si>
  <si>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</si>
  <si>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</si>
  <si>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</si>
  <si>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</si>
  <si>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</si>
  <si>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</si>
  <si>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</si>
  <si>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</si>
  <si>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</si>
  <si>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</si>
  <si>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</si>
  <si>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</si>
  <si>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</si>
  <si>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</si>
  <si>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</si>
  <si>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</si>
  <si>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</si>
  <si>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</si>
  <si>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</si>
  <si>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</si>
  <si>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</si>
  <si>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</si>
  <si>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</si>
  <si>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</si>
  <si>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</si>
  <si>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</si>
  <si>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</si>
  <si>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</si>
  <si>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</si>
  <si>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</si>
  <si>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</si>
  <si>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</si>
  <si>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</si>
  <si>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</si>
  <si>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</si>
  <si>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</si>
  <si>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</si>
  <si>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</si>
  <si>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</si>
  <si>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</si>
  <si>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</si>
  <si>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</si>
  <si>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</si>
  <si>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</si>
  <si>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</si>
  <si>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</si>
  <si>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</si>
  <si>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</si>
  <si>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</si>
  <si>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</si>
  <si>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</si>
  <si>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</si>
  <si>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</si>
  <si>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</si>
  <si>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</si>
  <si>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</si>
  <si>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</si>
  <si>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</si>
  <si>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</si>
  <si>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</si>
  <si>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</si>
  <si>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</si>
  <si>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</si>
  <si>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</si>
  <si>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</si>
  <si>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</si>
  <si>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</si>
  <si>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</si>
  <si>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</si>
  <si>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</si>
  <si>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</si>
  <si>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</si>
  <si>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</si>
  <si>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</si>
  <si>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</si>
  <si>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</si>
  <si>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</si>
  <si>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</si>
  <si>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</si>
  <si>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</si>
  <si>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</si>
  <si>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</si>
  <si>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</si>
  <si>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</si>
  <si>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</si>
  <si>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</si>
  <si>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</si>
  <si>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</si>
  <si>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</si>
  <si>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</si>
  <si>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</si>
  <si>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</si>
  <si>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</si>
  <si>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</si>
  <si>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</si>
  <si>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</si>
  <si>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</si>
  <si>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</si>
  <si>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</si>
  <si>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</si>
  <si>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</si>
  <si>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</si>
  <si>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</si>
  <si>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</si>
  <si>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</si>
  <si>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</si>
  <si>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</si>
  <si>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</si>
  <si>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</si>
  <si>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</si>
  <si>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</si>
  <si>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</si>
  <si>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</si>
  <si>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</si>
  <si>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</si>
  <si>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</si>
  <si>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</si>
  <si>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</si>
  <si>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</si>
  <si>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</si>
  <si>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</si>
  <si>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</si>
  <si>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</si>
  <si>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</si>
  <si>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</si>
  <si>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</si>
  <si>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</si>
  <si>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</si>
  <si>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</si>
  <si>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</si>
  <si>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</si>
  <si>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</si>
  <si>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</si>
  <si>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</si>
  <si>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</si>
  <si>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</si>
  <si>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</si>
  <si>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</si>
  <si>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</si>
  <si>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</si>
  <si>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</si>
  <si>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</si>
  <si>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</si>
  <si>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</si>
  <si>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</si>
  <si>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</si>
  <si>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</si>
  <si>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</si>
  <si>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</si>
  <si>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</si>
  <si>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</si>
  <si>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</si>
  <si>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</si>
  <si>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</si>
  <si>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</si>
  <si>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</si>
  <si>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</si>
  <si>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</si>
  <si>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</si>
  <si>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</si>
  <si>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</si>
  <si>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</si>
  <si>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</si>
  <si>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</si>
  <si>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</si>
  <si>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</si>
  <si>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</si>
  <si>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</si>
  <si>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</si>
  <si>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</si>
  <si>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</si>
  <si>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</si>
  <si>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</si>
  <si>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</si>
  <si>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</si>
  <si>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</si>
  <si>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</si>
  <si>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</si>
  <si>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</si>
  <si>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</si>
  <si>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</si>
  <si>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</si>
  <si>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</si>
  <si>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</si>
  <si>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</si>
  <si>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</si>
  <si>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</si>
  <si>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</si>
  <si>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</si>
  <si>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</si>
  <si>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</si>
  <si>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</si>
  <si>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</si>
  <si>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</si>
  <si>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</si>
  <si>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</si>
  <si>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</si>
  <si>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</si>
  <si>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</si>
  <si>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</si>
  <si>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</si>
  <si>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</si>
  <si>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</si>
  <si>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</si>
  <si>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</si>
  <si>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</si>
  <si>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</si>
  <si>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</si>
  <si>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</si>
  <si>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</si>
  <si>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</si>
  <si>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</si>
  <si>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</si>
  <si>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</si>
  <si>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</si>
  <si>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</si>
  <si>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</si>
  <si>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</si>
  <si>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</si>
  <si>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</si>
  <si>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</si>
  <si>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</si>
  <si>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</si>
  <si>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</si>
  <si>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</si>
  <si>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</si>
  <si>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</si>
  <si>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</si>
  <si>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</si>
  <si>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</si>
  <si>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</si>
  <si>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</si>
  <si>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</si>
  <si>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</si>
  <si>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</si>
  <si>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</si>
  <si>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</si>
  <si>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</si>
  <si>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</si>
  <si>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</si>
  <si>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</si>
  <si>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</si>
  <si>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</si>
  <si>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</si>
  <si>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</si>
  <si>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</si>
  <si>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</si>
  <si>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</si>
  <si>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</si>
  <si>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</si>
  <si>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</si>
  <si>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</si>
  <si>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</si>
  <si>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</si>
  <si>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</si>
  <si>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</si>
  <si>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</si>
  <si>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</si>
  <si>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</si>
  <si>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</si>
  <si>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</si>
  <si>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</si>
  <si>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</si>
  <si>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</si>
  <si>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</si>
  <si>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</si>
  <si>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</si>
  <si>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</si>
  <si>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</si>
  <si>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</si>
  <si>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</si>
  <si>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</si>
  <si>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</si>
  <si>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</si>
  <si>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</si>
  <si>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</si>
  <si>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</si>
  <si>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</si>
  <si>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</si>
  <si>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</si>
  <si>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</si>
  <si>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</si>
  <si>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</si>
  <si>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</si>
  <si>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</si>
  <si>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</si>
  <si>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</si>
  <si>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</si>
  <si>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</si>
  <si>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</si>
  <si>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</si>
  <si>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</si>
  <si>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</si>
  <si>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</si>
  <si>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</si>
  <si>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</si>
  <si>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</si>
  <si>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</si>
  <si>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</si>
  <si>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</si>
  <si>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</si>
  <si>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</si>
  <si>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</si>
  <si>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</si>
  <si>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</si>
  <si>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</si>
  <si>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</si>
  <si>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</si>
  <si>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</si>
  <si>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</si>
  <si>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</si>
  <si>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</si>
  <si>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</si>
  <si>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</si>
  <si>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</si>
  <si>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</si>
  <si>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</si>
  <si>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</si>
  <si>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</si>
  <si>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</si>
  <si>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</si>
  <si>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</si>
  <si>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</si>
  <si>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</si>
  <si>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</si>
  <si>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</si>
  <si>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</si>
  <si>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</si>
  <si>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</si>
  <si>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</si>
  <si>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</si>
  <si>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</si>
  <si>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</si>
  <si>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</si>
  <si>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</si>
  <si>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</si>
  <si>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</si>
  <si>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</si>
  <si>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</si>
  <si>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</si>
  <si>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</si>
  <si>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</si>
  <si>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</si>
  <si>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</si>
  <si>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</si>
  <si>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</si>
  <si>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</si>
  <si>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</si>
  <si>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</si>
  <si>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</si>
  <si>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</si>
  <si>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</si>
  <si>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</si>
  <si>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</si>
  <si>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</si>
  <si>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</si>
  <si>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</si>
  <si>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</si>
  <si>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</si>
  <si>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</si>
  <si>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</si>
  <si>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</si>
  <si>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</si>
  <si>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</si>
  <si>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</si>
  <si>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</si>
  <si>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</si>
  <si>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</si>
  <si>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</si>
  <si>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</si>
  <si>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</si>
  <si>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</si>
  <si>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</si>
  <si>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</si>
  <si>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</si>
  <si>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</si>
  <si>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</si>
  <si>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</si>
  <si>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</si>
  <si>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</si>
  <si>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</si>
  <si>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</si>
  <si>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</si>
  <si>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</si>
  <si>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</si>
  <si>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</si>
  <si>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</si>
  <si>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</si>
  <si>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</si>
  <si>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</si>
  <si>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</si>
  <si>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</si>
  <si>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</si>
  <si>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</si>
  <si>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</si>
  <si>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</si>
  <si>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</si>
  <si>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</si>
  <si>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</si>
  <si>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</si>
  <si>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</si>
  <si>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</si>
  <si>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</si>
  <si>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</si>
  <si>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</si>
  <si>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</si>
  <si>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</si>
  <si>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</si>
  <si>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</si>
  <si>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</si>
  <si>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</si>
  <si>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</si>
  <si>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</si>
  <si>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</si>
  <si>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</si>
  <si>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</si>
  <si>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</si>
  <si>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</si>
  <si>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</si>
  <si>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</si>
  <si>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</si>
  <si>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</si>
  <si>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</si>
  <si>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</si>
  <si>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</si>
  <si>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</si>
  <si>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</si>
  <si>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</si>
  <si>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</si>
  <si>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</si>
  <si>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</si>
  <si>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</si>
  <si>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</si>
  <si>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</si>
  <si>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</si>
  <si>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</si>
  <si>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</si>
  <si>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</si>
  <si>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</si>
  <si>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</si>
  <si>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</si>
  <si>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</si>
  <si>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</si>
  <si>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</si>
  <si>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</si>
  <si>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</si>
  <si>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</si>
  <si>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</si>
  <si>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</si>
  <si>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</si>
  <si>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</si>
  <si>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</si>
  <si>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</si>
  <si>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</si>
  <si>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</si>
  <si>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</si>
  <si>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</si>
  <si>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</si>
  <si>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</si>
  <si>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</si>
  <si>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</si>
  <si>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</si>
  <si>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</si>
  <si>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</si>
  <si>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</si>
  <si>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</si>
  <si>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</si>
  <si>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</si>
  <si>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</si>
  <si>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</si>
  <si>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</si>
  <si>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</si>
  <si>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</si>
  <si>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</si>
  <si>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</si>
  <si>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</si>
  <si>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</si>
  <si>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</si>
  <si>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</si>
  <si>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</si>
  <si>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</si>
  <si>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</si>
  <si>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</si>
  <si>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</si>
  <si>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</si>
  <si>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</si>
  <si>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</si>
  <si>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</si>
  <si>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</si>
  <si>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</si>
  <si>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</si>
  <si>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</si>
  <si>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</si>
  <si>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</si>
  <si>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</si>
  <si>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</si>
  <si>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</si>
  <si>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</si>
  <si>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</si>
  <si>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</si>
  <si>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</si>
  <si>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</si>
  <si>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</si>
  <si>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</si>
  <si>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</si>
  <si>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</si>
  <si>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</si>
  <si>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</si>
  <si>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</si>
  <si>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</si>
  <si>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</si>
  <si>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</si>
  <si>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</si>
  <si>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</si>
  <si>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</si>
  <si>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</si>
  <si>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</si>
  <si>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</si>
  <si>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</si>
  <si>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</si>
  <si>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</si>
  <si>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</si>
  <si>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</si>
  <si>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</si>
  <si>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</si>
  <si>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</si>
  <si>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</si>
  <si>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</si>
  <si>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</si>
  <si>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</si>
  <si>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</si>
  <si>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</si>
  <si>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</si>
  <si>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</si>
  <si>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</si>
  <si>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</si>
  <si>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</si>
  <si>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</si>
  <si>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</si>
  <si>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</si>
  <si>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</si>
  <si>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</si>
  <si>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</si>
  <si>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</si>
  <si>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</si>
  <si>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</si>
  <si>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</si>
  <si>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</si>
  <si>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</si>
  <si>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</si>
  <si>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</si>
  <si>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</si>
  <si>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</si>
  <si>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</si>
  <si>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</si>
  <si>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</si>
  <si>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</si>
  <si>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</si>
  <si>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</si>
  <si>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</si>
  <si>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</si>
  <si>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</si>
  <si>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</si>
  <si>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</si>
  <si>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</si>
  <si>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</si>
  <si>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</si>
  <si>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</si>
  <si>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</si>
  <si>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</si>
  <si>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</si>
  <si>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</si>
  <si>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</si>
  <si>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</si>
  <si>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</si>
  <si>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</si>
  <si>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</si>
  <si>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</si>
  <si>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</si>
  <si>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</si>
  <si>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</si>
  <si>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</si>
  <si>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</si>
  <si>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</si>
  <si>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</si>
  <si>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</si>
  <si>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</si>
  <si>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</si>
  <si>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</si>
  <si>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</si>
  <si>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</si>
  <si>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</si>
  <si>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</si>
  <si>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</si>
  <si>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</si>
  <si>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</si>
  <si>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</si>
  <si>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</si>
  <si>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</si>
  <si>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</si>
  <si>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</si>
  <si>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</si>
  <si>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</si>
  <si>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</si>
  <si>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</si>
  <si>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</si>
  <si>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</si>
  <si>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</si>
  <si>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</si>
  <si>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</si>
  <si>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</si>
  <si>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</si>
  <si>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</si>
  <si>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</si>
  <si>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</si>
  <si>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</si>
  <si>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</si>
  <si>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</si>
  <si>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</si>
  <si>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</si>
  <si>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</si>
  <si>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</si>
  <si>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</si>
  <si>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</si>
  <si>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</si>
  <si>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</si>
  <si>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</si>
  <si>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</si>
  <si>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</si>
  <si>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</si>
  <si>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</si>
  <si>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</si>
  <si>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</si>
  <si>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</si>
  <si>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</si>
  <si>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</si>
  <si>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</si>
  <si>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</si>
  <si>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</si>
  <si>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</si>
  <si>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</si>
  <si>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</si>
  <si>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</si>
  <si>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</si>
  <si>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</si>
  <si>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</si>
  <si>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</si>
  <si>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</si>
  <si>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</si>
  <si>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</si>
  <si>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</si>
  <si>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</si>
  <si>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</si>
  <si>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</si>
  <si>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</si>
  <si>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</si>
  <si>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</si>
  <si>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</si>
  <si>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</si>
  <si>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</si>
  <si>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</si>
  <si>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</si>
  <si>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</si>
  <si>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</si>
  <si>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</si>
  <si>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</si>
  <si>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</si>
  <si>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</si>
  <si>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</si>
  <si>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</si>
  <si>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</si>
  <si>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</si>
  <si>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</si>
  <si>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</si>
  <si>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</si>
  <si>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</si>
  <si>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</si>
  <si>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</si>
  <si>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</si>
  <si>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</si>
  <si>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</si>
  <si>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</si>
  <si>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</si>
  <si>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</si>
  <si>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</si>
  <si>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</si>
  <si>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</si>
  <si>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</si>
  <si>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</si>
  <si>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</si>
  <si>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</si>
  <si>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</si>
  <si>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</si>
  <si>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</si>
  <si>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</si>
  <si>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</si>
  <si>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</si>
  <si>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</si>
  <si>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</si>
  <si>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</si>
  <si>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</si>
  <si>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</si>
  <si>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</si>
  <si>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</si>
  <si>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</si>
  <si>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</si>
  <si>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</si>
  <si>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</si>
  <si>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</si>
  <si>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</si>
  <si>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</si>
  <si>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</si>
  <si>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</si>
  <si>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</si>
  <si>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</si>
  <si>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</si>
  <si>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</si>
  <si>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</si>
  <si>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</si>
  <si>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</si>
  <si>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</si>
  <si>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</si>
  <si>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</si>
  <si>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</si>
  <si>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</si>
  <si>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</si>
  <si>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</si>
  <si>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</si>
  <si>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</si>
  <si>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</si>
  <si>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</si>
  <si>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</si>
  <si>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</si>
  <si>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</si>
  <si>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</si>
  <si>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</si>
  <si>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</si>
  <si>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</si>
  <si>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</si>
  <si>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</si>
  <si>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</si>
  <si>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</si>
  <si>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</si>
  <si>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</si>
  <si>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</si>
  <si>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</si>
  <si>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</si>
  <si>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</si>
  <si>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</si>
  <si>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</si>
  <si>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</si>
  <si>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</si>
  <si>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</si>
  <si>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</si>
  <si>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</si>
  <si>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</si>
  <si>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</si>
  <si>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</si>
  <si>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</si>
  <si>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</si>
  <si>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</si>
  <si>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</si>
  <si>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</si>
  <si>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</si>
  <si>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</si>
  <si>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</si>
  <si>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</si>
  <si>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</si>
  <si>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</si>
  <si>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</si>
  <si>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</si>
  <si>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</si>
  <si>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</si>
  <si>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</si>
  <si>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</si>
  <si>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</si>
  <si>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</si>
  <si>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</si>
  <si>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</si>
  <si>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</si>
  <si>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</si>
  <si>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</si>
  <si>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</si>
  <si>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</si>
  <si>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</si>
  <si>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</si>
  <si>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</si>
  <si>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</si>
  <si>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</si>
  <si>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</si>
  <si>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</si>
  <si>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</si>
  <si>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</si>
  <si>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</si>
  <si>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</si>
  <si>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</si>
  <si>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</si>
  <si>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</si>
  <si>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</si>
  <si>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</si>
  <si>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</si>
  <si>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</si>
  <si>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</si>
  <si>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</si>
  <si>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</si>
  <si>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</si>
  <si>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</si>
  <si>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</si>
  <si>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</si>
  <si>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</si>
  <si>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</si>
  <si>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</si>
  <si>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</si>
  <si>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</si>
  <si>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</si>
  <si>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</si>
  <si>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</si>
  <si>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</si>
  <si>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</si>
  <si>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</si>
  <si>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</si>
  <si>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</si>
  <si>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</si>
  <si>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</si>
  <si>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</si>
  <si>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</si>
  <si>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</si>
  <si>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</si>
  <si>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</si>
  <si>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</si>
  <si>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</si>
  <si>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</si>
  <si>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</si>
  <si>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</si>
  <si>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</si>
  <si>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</si>
  <si>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</si>
  <si>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</si>
  <si>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</si>
  <si>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</si>
  <si>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</si>
  <si>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</si>
  <si>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</si>
  <si>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</si>
  <si>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</si>
  <si>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</si>
  <si>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</si>
  <si>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</si>
  <si>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</si>
  <si>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</si>
  <si>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</si>
  <si>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</si>
  <si>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</si>
  <si>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</si>
  <si>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</si>
  <si>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</si>
  <si>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</si>
  <si>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</si>
  <si>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</si>
  <si>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</si>
  <si>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</si>
  <si>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</si>
  <si>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</si>
  <si>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</si>
  <si>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</si>
  <si>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</si>
  <si>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</si>
  <si>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</si>
  <si>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</si>
  <si>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</si>
  <si>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</si>
  <si>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</si>
  <si>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</si>
  <si>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抵押</t>
  </si>
  <si>
    <t>房地产抵押价值</t>
  </si>
  <si>
    <t>其他：</t>
  </si>
  <si>
    <t>出让</t>
  </si>
  <si>
    <t>居住项目</t>
  </si>
  <si>
    <t>通路</t>
  </si>
  <si>
    <t>通电</t>
  </si>
  <si>
    <t>通讯</t>
  </si>
  <si>
    <t>通上水</t>
  </si>
  <si>
    <t>通下水</t>
  </si>
  <si>
    <t>燃气</t>
  </si>
  <si>
    <t>是</t>
  </si>
  <si>
    <r>
      <t>5-6#</t>
    </r>
    <r>
      <rPr>
        <sz val="10"/>
        <color indexed="8"/>
        <rFont val="宋体"/>
        <family val="3"/>
        <charset val="134"/>
      </rPr>
      <t>住宅楼</t>
    </r>
    <phoneticPr fontId="3" type="noConversion"/>
  </si>
  <si>
    <r>
      <t>9-10#</t>
    </r>
    <r>
      <rPr>
        <sz val="10"/>
        <color indexed="8"/>
        <rFont val="宋体"/>
        <family val="3"/>
        <charset val="134"/>
      </rPr>
      <t>住宅楼</t>
    </r>
    <phoneticPr fontId="3" type="noConversion"/>
  </si>
  <si>
    <r>
      <t>11-12#</t>
    </r>
    <r>
      <rPr>
        <sz val="10"/>
        <color indexed="8"/>
        <rFont val="宋体"/>
        <family val="3"/>
        <charset val="134"/>
      </rPr>
      <t>商住楼</t>
    </r>
    <phoneticPr fontId="3" type="noConversion"/>
  </si>
  <si>
    <t>综合楼</t>
    <phoneticPr fontId="3" type="noConversion"/>
  </si>
  <si>
    <t>配电房</t>
    <phoneticPr fontId="3" type="noConversion"/>
  </si>
  <si>
    <t>地下室</t>
    <phoneticPr fontId="3" type="noConversion"/>
  </si>
  <si>
    <t>地下</t>
  </si>
  <si>
    <t>车库</t>
  </si>
  <si>
    <t>地上</t>
  </si>
  <si>
    <t>住宅</t>
  </si>
  <si>
    <r>
      <t>7-8#</t>
    </r>
    <r>
      <rPr>
        <sz val="10"/>
        <color indexed="8"/>
        <rFont val="宋体"/>
        <family val="3"/>
        <charset val="134"/>
      </rPr>
      <t>、</t>
    </r>
    <r>
      <rPr>
        <sz val="10"/>
        <color indexed="8"/>
        <rFont val="Arial"/>
        <family val="2"/>
      </rPr>
      <t>11-12#</t>
    </r>
    <r>
      <rPr>
        <sz val="10"/>
        <color indexed="8"/>
        <rFont val="宋体"/>
        <family val="3"/>
        <charset val="134"/>
      </rPr>
      <t>商住楼</t>
    </r>
    <phoneticPr fontId="3" type="noConversion"/>
  </si>
  <si>
    <t>住宅</t>
    <phoneticPr fontId="7" type="noConversion"/>
  </si>
  <si>
    <t>商业</t>
    <phoneticPr fontId="7" type="noConversion"/>
  </si>
  <si>
    <r>
      <t>2#</t>
    </r>
    <r>
      <rPr>
        <sz val="11"/>
        <color indexed="8"/>
        <rFont val="宋体"/>
        <family val="3"/>
        <charset val="134"/>
      </rPr>
      <t>办公楼</t>
    </r>
    <phoneticPr fontId="3" type="noConversion"/>
  </si>
  <si>
    <r>
      <t>3#</t>
    </r>
    <r>
      <rPr>
        <sz val="11"/>
        <color indexed="8"/>
        <rFont val="宋体"/>
        <family val="3"/>
        <charset val="134"/>
      </rPr>
      <t>办公楼</t>
    </r>
    <phoneticPr fontId="3" type="noConversion"/>
  </si>
  <si>
    <r>
      <t>4#</t>
    </r>
    <r>
      <rPr>
        <sz val="11"/>
        <color indexed="8"/>
        <rFont val="宋体"/>
        <family val="3"/>
        <charset val="134"/>
      </rPr>
      <t>办公楼</t>
    </r>
    <phoneticPr fontId="3" type="noConversion"/>
  </si>
  <si>
    <t>商业及影城</t>
  </si>
  <si>
    <t>商业及影城</t>
    <phoneticPr fontId="3" type="noConversion"/>
  </si>
  <si>
    <t>幼儿园</t>
    <phoneticPr fontId="3" type="noConversion"/>
  </si>
  <si>
    <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4#</t>
    </r>
    <r>
      <rPr>
        <sz val="11"/>
        <color indexed="8"/>
        <rFont val="宋体"/>
        <family val="3"/>
        <charset val="134"/>
      </rPr>
      <t>办公楼</t>
    </r>
    <phoneticPr fontId="3" type="noConversion"/>
  </si>
  <si>
    <t>办公</t>
    <phoneticPr fontId="7" type="noConversion"/>
  </si>
  <si>
    <r>
      <t>13#</t>
    </r>
    <r>
      <rPr>
        <sz val="11"/>
        <color indexed="8"/>
        <rFont val="宋体"/>
        <family val="3"/>
        <charset val="134"/>
      </rPr>
      <t>住宅楼</t>
    </r>
    <phoneticPr fontId="3" type="noConversion"/>
  </si>
  <si>
    <r>
      <t>14-15#</t>
    </r>
    <r>
      <rPr>
        <sz val="11"/>
        <color indexed="8"/>
        <rFont val="宋体"/>
        <family val="3"/>
        <charset val="134"/>
      </rPr>
      <t>住宅楼</t>
    </r>
    <phoneticPr fontId="3" type="noConversion"/>
  </si>
  <si>
    <r>
      <t>16#</t>
    </r>
    <r>
      <rPr>
        <sz val="11"/>
        <color indexed="8"/>
        <rFont val="宋体"/>
        <family val="3"/>
        <charset val="134"/>
      </rPr>
      <t>住宅楼</t>
    </r>
    <phoneticPr fontId="3" type="noConversion"/>
  </si>
  <si>
    <r>
      <t>17-18#</t>
    </r>
    <r>
      <rPr>
        <sz val="11"/>
        <color indexed="8"/>
        <rFont val="宋体"/>
        <family val="3"/>
        <charset val="134"/>
      </rPr>
      <t>住宅楼</t>
    </r>
    <phoneticPr fontId="3" type="noConversion"/>
  </si>
  <si>
    <r>
      <t>19-20#</t>
    </r>
    <r>
      <rPr>
        <sz val="11"/>
        <color indexed="8"/>
        <rFont val="宋体"/>
        <family val="3"/>
        <charset val="134"/>
      </rPr>
      <t>商住楼</t>
    </r>
    <phoneticPr fontId="3" type="noConversion"/>
  </si>
  <si>
    <t>三期地下室</t>
    <phoneticPr fontId="3" type="noConversion"/>
  </si>
  <si>
    <t>御府未网签备案明细</t>
  </si>
  <si>
    <t>序号</t>
  </si>
  <si>
    <t>楼栋名称</t>
  </si>
  <si>
    <t>单元</t>
  </si>
  <si>
    <t>房号</t>
  </si>
  <si>
    <t>房间全称</t>
  </si>
  <si>
    <t>建筑面积</t>
  </si>
  <si>
    <t>住宅-14_15号楼1单元</t>
  </si>
  <si>
    <t>三亚恒大御府-一期-住宅-14_15号楼1单元-103</t>
  </si>
  <si>
    <t>三亚恒大御府-一期-住宅-14_15号楼1单元-104</t>
  </si>
  <si>
    <t>三亚恒大御府-一期-住宅-14_15号楼1单元-201</t>
  </si>
  <si>
    <t>三亚恒大御府-一期-住宅-14_15号楼1单元-202</t>
  </si>
  <si>
    <t>三亚恒大御府-一期-住宅-14_15号楼1单元-203</t>
  </si>
  <si>
    <t>三亚恒大御府-一期-住宅-14_15号楼1单元-204</t>
  </si>
  <si>
    <t>三亚恒大御府-一期-住宅-14_15号楼1单元-205</t>
  </si>
  <si>
    <t>三亚恒大御府-一期-住宅-14_15号楼1单元-303</t>
  </si>
  <si>
    <t>三亚恒大御府-一期-住宅-14_15号楼1单元-304</t>
  </si>
  <si>
    <t>三亚恒大御府-一期-住宅-14_15号楼1单元-305</t>
  </si>
  <si>
    <t>三亚恒大御府-一期-住宅-14_15号楼1单元-403</t>
  </si>
  <si>
    <t>三亚恒大御府-一期-住宅-14_15号楼1单元-404</t>
  </si>
  <si>
    <t>三亚恒大御府-一期-住宅-14_15号楼1单元-501</t>
  </si>
  <si>
    <t>三亚恒大御府-一期-住宅-14_15号楼1单元-502</t>
  </si>
  <si>
    <t>三亚恒大御府-一期-住宅-14_15号楼1单元-504</t>
  </si>
  <si>
    <t>三亚恒大御府-一期-住宅-14_15号楼1单元-505</t>
  </si>
  <si>
    <t>三亚恒大御府-一期-住宅-14_15号楼1单元-601</t>
  </si>
  <si>
    <t>三亚恒大御府-一期-住宅-14_15号楼1单元-602</t>
  </si>
  <si>
    <t>三亚恒大御府-一期-住宅-14_15号楼1单元-603</t>
  </si>
  <si>
    <t>三亚恒大御府-一期-住宅-14_15号楼1单元-604</t>
  </si>
  <si>
    <t>三亚恒大御府-一期-住宅-14_15号楼1单元-605</t>
  </si>
  <si>
    <t>三亚恒大御府-一期-住宅-14_15号楼1单元-701</t>
  </si>
  <si>
    <t>三亚恒大御府-一期-住宅-14_15号楼1单元-702</t>
  </si>
  <si>
    <t>三亚恒大御府-一期-住宅-14_15号楼1单元-703</t>
  </si>
  <si>
    <t>三亚恒大御府-一期-住宅-14_15号楼1单元-801</t>
  </si>
  <si>
    <t>三亚恒大御府-一期-住宅-14_15号楼1单元-802</t>
  </si>
  <si>
    <t>三亚恒大御府-一期-住宅-14_15号楼1单元-803</t>
  </si>
  <si>
    <t>三亚恒大御府-一期-住宅-14_15号楼1单元-804</t>
  </si>
  <si>
    <t>三亚恒大御府-一期-住宅-14_15号楼1单元-805</t>
  </si>
  <si>
    <t>三亚恒大御府-一期-住宅-14_15号楼1单元-901</t>
  </si>
  <si>
    <t>三亚恒大御府-一期-住宅-14_15号楼1单元-903</t>
  </si>
  <si>
    <t>三亚恒大御府-一期-住宅-14_15号楼1单元-904</t>
  </si>
  <si>
    <t>三亚恒大御府-一期-住宅-14_15号楼1单元-905</t>
  </si>
  <si>
    <t>三亚恒大御府-一期-住宅-14_15号楼1单元-1001</t>
  </si>
  <si>
    <t>三亚恒大御府-一期-住宅-14_15号楼1单元-1002</t>
  </si>
  <si>
    <t>三亚恒大御府-一期-住宅-14_15号楼1单元-1003</t>
  </si>
  <si>
    <t>三亚恒大御府-一期-住宅-14_15号楼1单元-1004</t>
  </si>
  <si>
    <t>三亚恒大御府-一期-住宅-14_15号楼1单元-1005</t>
  </si>
  <si>
    <t>三亚恒大御府-一期-住宅-14_15号楼1单元-1101</t>
  </si>
  <si>
    <t>三亚恒大御府-一期-住宅-14_15号楼1单元-1103</t>
  </si>
  <si>
    <t>三亚恒大御府-一期-住宅-14_15号楼1单元-1104</t>
  </si>
  <si>
    <t>三亚恒大御府-一期-住宅-14_15号楼1单元-1105</t>
  </si>
  <si>
    <t>三亚恒大御府-一期-住宅-14_15号楼1单元-1201</t>
  </si>
  <si>
    <t>三亚恒大御府-一期-住宅-14_15号楼1单元-1202</t>
  </si>
  <si>
    <t>三亚恒大御府-一期-住宅-14_15号楼1单元-1203</t>
  </si>
  <si>
    <t>三亚恒大御府-一期-住宅-14_15号楼1单元-1204</t>
  </si>
  <si>
    <t>三亚恒大御府-一期-住宅-14_15号楼1单元-1205</t>
  </si>
  <si>
    <t>三亚恒大御府-一期-住宅-14_15号楼1单元-1301</t>
  </si>
  <si>
    <t>三亚恒大御府-一期-住宅-14_15号楼1单元-1302</t>
  </si>
  <si>
    <t>三亚恒大御府-一期-住宅-14_15号楼1单元-1303</t>
  </si>
  <si>
    <t>三亚恒大御府-一期-住宅-14_15号楼1单元-1304</t>
  </si>
  <si>
    <t>三亚恒大御府-一期-住宅-14_15号楼1单元-1305</t>
  </si>
  <si>
    <t>三亚恒大御府-一期-住宅-14_15号楼1单元-1401</t>
  </si>
  <si>
    <t>三亚恒大御府-一期-住宅-14_15号楼1单元-1404</t>
  </si>
  <si>
    <t>三亚恒大御府-一期-住宅-14_15号楼1单元-1501</t>
  </si>
  <si>
    <t>三亚恒大御府-一期-住宅-14_15号楼1单元-1504</t>
  </si>
  <si>
    <t>三亚恒大御府-一期-住宅-14_15号楼1单元-1505</t>
  </si>
  <si>
    <t>三亚恒大御府-一期-住宅-14_15号楼1单元-1601</t>
  </si>
  <si>
    <t>三亚恒大御府-一期-住宅-14_15号楼1单元-1602</t>
  </si>
  <si>
    <t>三亚恒大御府-一期-住宅-14_15号楼1单元-1603</t>
  </si>
  <si>
    <t>三亚恒大御府-一期-住宅-14_15号楼1单元-1604</t>
  </si>
  <si>
    <t>三亚恒大御府-一期-住宅-14_15号楼1单元-1605</t>
  </si>
  <si>
    <t>三亚恒大御府-一期-住宅-14_15号楼1单元-1701</t>
  </si>
  <si>
    <t>三亚恒大御府-一期-住宅-14_15号楼1单元-1702</t>
  </si>
  <si>
    <t>三亚恒大御府-一期-住宅-14_15号楼1单元-1703</t>
  </si>
  <si>
    <t>三亚恒大御府-一期-住宅-14_15号楼1单元-1704</t>
  </si>
  <si>
    <t>三亚恒大御府-一期-住宅-14_15号楼1单元-1705</t>
  </si>
  <si>
    <t>三亚恒大御府-一期-住宅-14_15号楼1单元-1802</t>
  </si>
  <si>
    <t>三亚恒大御府-一期-住宅-14_15号楼1单元-1803</t>
  </si>
  <si>
    <t>三亚恒大御府-一期-住宅-14_15号楼1单元-1804</t>
  </si>
  <si>
    <t>三亚恒大御府-一期-住宅-14_15号楼1单元-1805</t>
  </si>
  <si>
    <t>三亚恒大御府-一期-住宅-14_15号楼1单元-1901</t>
  </si>
  <si>
    <t>三亚恒大御府-一期-住宅-14_15号楼1单元-1902</t>
  </si>
  <si>
    <t>三亚恒大御府-一期-住宅-14_15号楼1单元-1903</t>
  </si>
  <si>
    <t>三亚恒大御府-一期-住宅-14_15号楼1单元-1904</t>
  </si>
  <si>
    <t>三亚恒大御府-一期-住宅-14_15号楼1单元-2001</t>
  </si>
  <si>
    <t>三亚恒大御府-一期-住宅-14_15号楼1单元-2003</t>
  </si>
  <si>
    <t>三亚恒大御府-一期-住宅-14_15号楼1单元-2004</t>
  </si>
  <si>
    <t>三亚恒大御府-一期-住宅-14_15号楼1单元-2005</t>
  </si>
  <si>
    <t>三亚恒大御府-一期-住宅-14_15号楼1单元-2101</t>
  </si>
  <si>
    <t>三亚恒大御府-一期-住宅-14_15号楼1单元-2102</t>
  </si>
  <si>
    <t>三亚恒大御府-一期-住宅-14_15号楼1单元-2103</t>
  </si>
  <si>
    <t>三亚恒大御府-一期-住宅-14_15号楼1单元-2105</t>
  </si>
  <si>
    <t>三亚恒大御府-一期-住宅-14_15号楼1单元-2201</t>
  </si>
  <si>
    <t>三亚恒大御府-一期-住宅-14_15号楼1单元-2202</t>
  </si>
  <si>
    <t>三亚恒大御府-一期-住宅-14_15号楼1单元-2203</t>
  </si>
  <si>
    <t>三亚恒大御府-一期-住宅-14_15号楼1单元-2204</t>
  </si>
  <si>
    <t>三亚恒大御府-一期-住宅-14_15号楼1单元-2301</t>
  </si>
  <si>
    <t>三亚恒大御府-一期-住宅-14_15号楼1单元-2302</t>
  </si>
  <si>
    <t>三亚恒大御府-一期-住宅-14_15号楼1单元-2303</t>
  </si>
  <si>
    <t>三亚恒大御府-一期-住宅-14_15号楼1单元-2304</t>
  </si>
  <si>
    <t>三亚恒大御府-一期-住宅-14_15号楼1单元-2305</t>
  </si>
  <si>
    <t>住宅-5_6号楼1单元</t>
  </si>
  <si>
    <t>三亚恒大御府-一期-住宅-5_6号楼1单元-205</t>
  </si>
  <si>
    <t>三亚恒大御府-一期-住宅-5_6号楼1单元-401</t>
  </si>
  <si>
    <t>三亚恒大御府-一期-住宅-5_6号楼1单元-1601</t>
  </si>
  <si>
    <t>三亚恒大御府-一期-住宅-5_6号楼1单元-2103</t>
  </si>
  <si>
    <t>三亚恒大御府-一期-住宅-5_6号楼1单元-2303</t>
  </si>
  <si>
    <t>三亚恒大御府-一期-住宅-5_6号楼1单元-2305</t>
  </si>
  <si>
    <t>住宅-13号楼</t>
  </si>
  <si>
    <t>三亚恒大御府-一期-住宅-13号楼-203</t>
  </si>
  <si>
    <t>三亚恒大御府-一期-住宅-13号楼-204</t>
  </si>
  <si>
    <t>三亚恒大御府-一期-住宅-13号楼-205</t>
  </si>
  <si>
    <t>三亚恒大御府-一期-住宅-13号楼-302</t>
  </si>
  <si>
    <t>三亚恒大御府-一期-住宅-13号楼-303</t>
  </si>
  <si>
    <t>三亚恒大御府-一期-住宅-13号楼-304</t>
  </si>
  <si>
    <t>三亚恒大御府-一期-住宅-13号楼-305</t>
  </si>
  <si>
    <t>三亚恒大御府-一期-住宅-13号楼-306</t>
  </si>
  <si>
    <t>三亚恒大御府-一期-住宅-13号楼-401</t>
  </si>
  <si>
    <t>三亚恒大御府-一期-住宅-13号楼-402</t>
  </si>
  <si>
    <t>三亚恒大御府-一期-住宅-13号楼-403</t>
  </si>
  <si>
    <t>三亚恒大御府-一期-住宅-13号楼-404</t>
  </si>
  <si>
    <t>三亚恒大御府-一期-住宅-13号楼-405</t>
  </si>
  <si>
    <t>三亚恒大御府-一期-住宅-13号楼-406</t>
  </si>
  <si>
    <t>三亚恒大御府-一期-住宅-13号楼-501</t>
  </si>
  <si>
    <t>三亚恒大御府-一期-住宅-13号楼-502</t>
  </si>
  <si>
    <t>三亚恒大御府-一期-住宅-13号楼-504</t>
  </si>
  <si>
    <t>三亚恒大御府-一期-住宅-13号楼-506</t>
  </si>
  <si>
    <t>三亚恒大御府-一期-住宅-13号楼-601</t>
  </si>
  <si>
    <t>三亚恒大御府-一期-住宅-13号楼-602</t>
  </si>
  <si>
    <t>三亚恒大御府-一期-住宅-13号楼-603</t>
  </si>
  <si>
    <t>三亚恒大御府-一期-住宅-13号楼-604</t>
  </si>
  <si>
    <t>三亚恒大御府-一期-住宅-13号楼-605</t>
  </si>
  <si>
    <t>三亚恒大御府-一期-住宅-13号楼-702</t>
  </si>
  <si>
    <t>三亚恒大御府-一期-住宅-13号楼-705</t>
  </si>
  <si>
    <t>三亚恒大御府-一期-住宅-13号楼-706</t>
  </si>
  <si>
    <t>三亚恒大御府-一期-住宅-13号楼-801</t>
  </si>
  <si>
    <t>三亚恒大御府-一期-住宅-13号楼-802</t>
  </si>
  <si>
    <t>三亚恒大御府-一期-住宅-13号楼-803</t>
  </si>
  <si>
    <t>三亚恒大御府-一期-住宅-13号楼-804</t>
  </si>
  <si>
    <t>三亚恒大御府-一期-住宅-13号楼-805</t>
  </si>
  <si>
    <t>三亚恒大御府-一期-住宅-13号楼-806</t>
  </si>
  <si>
    <t>三亚恒大御府-一期-住宅-13号楼-902</t>
  </si>
  <si>
    <t>三亚恒大御府-一期-住宅-13号楼-903</t>
  </si>
  <si>
    <t>三亚恒大御府-一期-住宅-13号楼-904</t>
  </si>
  <si>
    <t>三亚恒大御府-一期-住宅-13号楼-906</t>
  </si>
  <si>
    <t>三亚恒大御府-一期-住宅-13号楼-1001</t>
  </si>
  <si>
    <t>三亚恒大御府-一期-住宅-13号楼-1002</t>
  </si>
  <si>
    <t>三亚恒大御府-一期-住宅-13号楼-1003</t>
  </si>
  <si>
    <t>三亚恒大御府-一期-住宅-13号楼-1004</t>
  </si>
  <si>
    <t>三亚恒大御府-一期-住宅-13号楼-1005</t>
  </si>
  <si>
    <t>三亚恒大御府-一期-住宅-13号楼-1006</t>
  </si>
  <si>
    <t>三亚恒大御府-一期-住宅-13号楼-1101</t>
  </si>
  <si>
    <t>三亚恒大御府-一期-住宅-13号楼-1102</t>
  </si>
  <si>
    <t>三亚恒大御府-一期-住宅-13号楼-1103</t>
  </si>
  <si>
    <t>三亚恒大御府-一期-住宅-13号楼-1105</t>
  </si>
  <si>
    <t>三亚恒大御府-一期-住宅-13号楼-1106</t>
  </si>
  <si>
    <t>三亚恒大御府-一期-住宅-13号楼-1201</t>
  </si>
  <si>
    <t>三亚恒大御府-一期-住宅-13号楼-1202</t>
  </si>
  <si>
    <t>三亚恒大御府-一期-住宅-13号楼-1203</t>
  </si>
  <si>
    <t>三亚恒大御府-一期-住宅-13号楼-1204</t>
  </si>
  <si>
    <t>三亚恒大御府-一期-住宅-13号楼-1205</t>
  </si>
  <si>
    <t>三亚恒大御府-一期-住宅-13号楼-1206</t>
  </si>
  <si>
    <t>三亚恒大御府-一期-住宅-13号楼-1301</t>
  </si>
  <si>
    <t>三亚恒大御府-一期-住宅-13号楼-1302</t>
  </si>
  <si>
    <t>三亚恒大御府-一期-住宅-13号楼-1303</t>
  </si>
  <si>
    <t>三亚恒大御府-一期-住宅-13号楼-1304</t>
  </si>
  <si>
    <t>三亚恒大御府-一期-住宅-13号楼-1305</t>
  </si>
  <si>
    <t>三亚恒大御府-一期-住宅-13号楼-1306</t>
  </si>
  <si>
    <t>三亚恒大御府-一期-住宅-13号楼-1401</t>
  </si>
  <si>
    <t>三亚恒大御府-一期-住宅-13号楼-1402</t>
  </si>
  <si>
    <t>三亚恒大御府-一期-住宅-13号楼-1403</t>
  </si>
  <si>
    <t>三亚恒大御府-一期-住宅-13号楼-1404</t>
  </si>
  <si>
    <t>三亚恒大御府-一期-住宅-13号楼-1405</t>
  </si>
  <si>
    <t>三亚恒大御府-一期-住宅-13号楼-1406</t>
  </si>
  <si>
    <t>三亚恒大御府-一期-住宅-13号楼-1501</t>
  </si>
  <si>
    <t>三亚恒大御府-一期-住宅-13号楼-1502</t>
  </si>
  <si>
    <t>三亚恒大御府-一期-住宅-13号楼-1503</t>
  </si>
  <si>
    <t>三亚恒大御府-一期-住宅-13号楼-1505</t>
  </si>
  <si>
    <t>三亚恒大御府-一期-住宅-13号楼-1601</t>
  </si>
  <si>
    <t>三亚恒大御府-一期-住宅-13号楼-1602</t>
  </si>
  <si>
    <t>三亚恒大御府-一期-住宅-13号楼-1603</t>
  </si>
  <si>
    <t>三亚恒大御府-一期-住宅-13号楼-1605</t>
  </si>
  <si>
    <t>三亚恒大御府-一期-住宅-13号楼-1606</t>
  </si>
  <si>
    <t>三亚恒大御府-一期-住宅-13号楼-1701</t>
  </si>
  <si>
    <t>三亚恒大御府-一期-住宅-13号楼-1702</t>
  </si>
  <si>
    <t>三亚恒大御府-一期-住宅-13号楼-1703</t>
  </si>
  <si>
    <t>三亚恒大御府-一期-住宅-13号楼-1704</t>
  </si>
  <si>
    <t>三亚恒大御府-一期-住宅-13号楼-1705</t>
  </si>
  <si>
    <t>三亚恒大御府-一期-住宅-13号楼-1706</t>
  </si>
  <si>
    <t>三亚恒大御府-一期-住宅-13号楼-1802</t>
  </si>
  <si>
    <t>三亚恒大御府-一期-住宅-13号楼-1803</t>
  </si>
  <si>
    <t>三亚恒大御府-一期-住宅-13号楼-1804</t>
  </si>
  <si>
    <t>三亚恒大御府-一期-住宅-13号楼-1805</t>
  </si>
  <si>
    <t>三亚恒大御府-一期-住宅-13号楼-1806</t>
  </si>
  <si>
    <t>三亚恒大御府-一期-住宅-13号楼-1901</t>
  </si>
  <si>
    <t>三亚恒大御府-一期-住宅-13号楼-1904</t>
  </si>
  <si>
    <t>三亚恒大御府-一期-住宅-13号楼-1905</t>
  </si>
  <si>
    <t>三亚恒大御府-一期-住宅-13号楼-1906</t>
  </si>
  <si>
    <t>三亚恒大御府-一期-住宅-13号楼-2001</t>
  </si>
  <si>
    <t>三亚恒大御府-一期-住宅-13号楼-2002</t>
  </si>
  <si>
    <t>三亚恒大御府-一期-住宅-13号楼-2003</t>
  </si>
  <si>
    <t>三亚恒大御府-一期-住宅-13号楼-2004</t>
  </si>
  <si>
    <t>三亚恒大御府-一期-住宅-13号楼-2005</t>
  </si>
  <si>
    <t>三亚恒大御府-一期-住宅-13号楼-2006</t>
  </si>
  <si>
    <t>三亚恒大御府-一期-住宅-13号楼-2101</t>
  </si>
  <si>
    <t>三亚恒大御府-一期-住宅-13号楼-2102</t>
  </si>
  <si>
    <t>三亚恒大御府-一期-住宅-13号楼-2103</t>
  </si>
  <si>
    <t>三亚恒大御府-一期-住宅-13号楼-2104</t>
  </si>
  <si>
    <t>三亚恒大御府-一期-住宅-13号楼-2105</t>
  </si>
  <si>
    <t>三亚恒大御府-一期-住宅-13号楼-2106</t>
  </si>
  <si>
    <t>三亚恒大御府-一期-住宅-13号楼-2201</t>
  </si>
  <si>
    <t>三亚恒大御府-一期-住宅-13号楼-2202</t>
  </si>
  <si>
    <t>三亚恒大御府-一期-住宅-13号楼-2203</t>
  </si>
  <si>
    <t>三亚恒大御府-一期-住宅-13号楼-2205</t>
  </si>
  <si>
    <t>三亚恒大御府-一期-住宅-13号楼-2206</t>
  </si>
  <si>
    <t>三亚恒大御府-一期-住宅-13号楼-2302</t>
  </si>
  <si>
    <t>三亚恒大御府-一期-住宅-13号楼-2303</t>
  </si>
  <si>
    <t>三亚恒大御府-一期-住宅-13号楼-2304</t>
  </si>
  <si>
    <t>三亚恒大御府-一期-住宅-13号楼-2305</t>
  </si>
  <si>
    <t>三亚恒大御府-一期-住宅-13号楼-2306</t>
  </si>
  <si>
    <t>住宅-14_15号楼2单元</t>
  </si>
  <si>
    <t>三亚恒大御府-一期-住宅-14_15号楼2单元-102</t>
  </si>
  <si>
    <t>三亚恒大御府-一期-住宅-14_15号楼2单元-104</t>
  </si>
  <si>
    <t>三亚恒大御府-一期-住宅-14_15号楼2单元-201</t>
  </si>
  <si>
    <t>三亚恒大御府-一期-住宅-14_15号楼2单元-202</t>
  </si>
  <si>
    <t>三亚恒大御府-一期-住宅-14_15号楼2单元-203</t>
  </si>
  <si>
    <t>三亚恒大御府-一期-住宅-14_15号楼2单元-204</t>
  </si>
  <si>
    <t>三亚恒大御府-一期-住宅-14_15号楼2单元-301</t>
  </si>
  <si>
    <t>三亚恒大御府-一期-住宅-14_15号楼2单元-302</t>
  </si>
  <si>
    <t>三亚恒大御府-一期-住宅-14_15号楼2单元-303</t>
  </si>
  <si>
    <t>三亚恒大御府-一期-住宅-14_15号楼2单元-402</t>
  </si>
  <si>
    <t>三亚恒大御府-一期-住宅-14_15号楼2单元-403</t>
  </si>
  <si>
    <t>三亚恒大御府-一期-住宅-14_15号楼2单元-501</t>
  </si>
  <si>
    <t>三亚恒大御府-一期-住宅-14_15号楼2单元-502</t>
  </si>
  <si>
    <t>三亚恒大御府-一期-住宅-14_15号楼2单元-503</t>
  </si>
  <si>
    <t>三亚恒大御府-一期-住宅-14_15号楼2单元-504</t>
  </si>
  <si>
    <t>三亚恒大御府-一期-住宅-14_15号楼2单元-603</t>
  </si>
  <si>
    <t>三亚恒大御府-一期-住宅-14_15号楼2单元-604</t>
  </si>
  <si>
    <t>三亚恒大御府-一期-住宅-14_15号楼2单元-701</t>
  </si>
  <si>
    <t>三亚恒大御府-一期-住宅-14_15号楼2单元-703</t>
  </si>
  <si>
    <t>三亚恒大御府-一期-住宅-14_15号楼2单元-704</t>
  </si>
  <si>
    <t>三亚恒大御府-一期-住宅-14_15号楼2单元-802</t>
  </si>
  <si>
    <t>三亚恒大御府-一期-住宅-14_15号楼2单元-803</t>
  </si>
  <si>
    <t>三亚恒大御府-一期-住宅-14_15号楼2单元-804</t>
  </si>
  <si>
    <t>三亚恒大御府-一期-住宅-14_15号楼2单元-902</t>
  </si>
  <si>
    <t>三亚恒大御府-一期-住宅-14_15号楼2单元-903</t>
  </si>
  <si>
    <t>三亚恒大御府-一期-住宅-14_15号楼2单元-904</t>
  </si>
  <si>
    <t>三亚恒大御府-一期-住宅-14_15号楼2单元-1002</t>
  </si>
  <si>
    <t>三亚恒大御府-一期-住宅-14_15号楼2单元-1003</t>
  </si>
  <si>
    <t>三亚恒大御府-一期-住宅-14_15号楼2单元-1004</t>
  </si>
  <si>
    <t>三亚恒大御府-一期-住宅-14_15号楼2单元-1102</t>
  </si>
  <si>
    <t>三亚恒大御府-一期-住宅-14_15号楼2单元-1103</t>
  </si>
  <si>
    <t>三亚恒大御府-一期-住宅-14_15号楼2单元-1104</t>
  </si>
  <si>
    <t>三亚恒大御府-一期-住宅-14_15号楼2单元-1201</t>
  </si>
  <si>
    <t>三亚恒大御府-一期-住宅-14_15号楼2单元-1202</t>
  </si>
  <si>
    <t>三亚恒大御府-一期-住宅-14_15号楼2单元-1203</t>
  </si>
  <si>
    <t>三亚恒大御府-一期-住宅-14_15号楼2单元-1204</t>
  </si>
  <si>
    <t>三亚恒大御府-一期-住宅-14_15号楼2单元-1302</t>
  </si>
  <si>
    <t>三亚恒大御府-一期-住宅-14_15号楼2单元-1303</t>
  </si>
  <si>
    <t>三亚恒大御府-一期-住宅-14_15号楼2单元-1304</t>
  </si>
  <si>
    <t>三亚恒大御府-一期-住宅-14_15号楼2单元-1402</t>
  </si>
  <si>
    <t>三亚恒大御府-一期-住宅-14_15号楼2单元-1403</t>
  </si>
  <si>
    <t>三亚恒大御府-一期-住宅-14_15号楼2单元-1404</t>
  </si>
  <si>
    <t>三亚恒大御府-一期-住宅-14_15号楼2单元-1501</t>
  </si>
  <si>
    <t>三亚恒大御府-一期-住宅-14_15号楼2单元-1502</t>
  </si>
  <si>
    <t>三亚恒大御府-一期-住宅-14_15号楼2单元-1503</t>
  </si>
  <si>
    <t>三亚恒大御府-一期-住宅-14_15号楼2单元-1504</t>
  </si>
  <si>
    <t>三亚恒大御府-一期-住宅-14_15号楼2单元-1601</t>
  </si>
  <si>
    <t>三亚恒大御府-一期-住宅-14_15号楼2单元-1602</t>
  </si>
  <si>
    <t>三亚恒大御府-一期-住宅-14_15号楼2单元-1603</t>
  </si>
  <si>
    <t>三亚恒大御府-一期-住宅-14_15号楼2单元-1604</t>
  </si>
  <si>
    <t>三亚恒大御府-一期-住宅-14_15号楼2单元-1701</t>
  </si>
  <si>
    <t>三亚恒大御府-一期-住宅-14_15号楼2单元-1702</t>
  </si>
  <si>
    <t>三亚恒大御府-一期-住宅-14_15号楼2单元-1703</t>
  </si>
  <si>
    <t>三亚恒大御府-一期-住宅-14_15号楼2单元-1704</t>
  </si>
  <si>
    <t>三亚恒大御府-一期-住宅-14_15号楼2单元-1802</t>
  </si>
  <si>
    <t>三亚恒大御府-一期-住宅-14_15号楼2单元-1803</t>
  </si>
  <si>
    <t>三亚恒大御府-一期-住宅-14_15号楼2单元-1901</t>
  </si>
  <si>
    <t>三亚恒大御府-一期-住宅-14_15号楼2单元-1902</t>
  </si>
  <si>
    <t>三亚恒大御府-一期-住宅-14_15号楼2单元-1903</t>
  </si>
  <si>
    <t>三亚恒大御府-一期-住宅-14_15号楼2单元-1904</t>
  </si>
  <si>
    <t>三亚恒大御府-一期-住宅-14_15号楼2单元-2001</t>
  </si>
  <si>
    <t>三亚恒大御府-一期-住宅-14_15号楼2单元-2002</t>
  </si>
  <si>
    <t>三亚恒大御府-一期-住宅-14_15号楼2单元-2003</t>
  </si>
  <si>
    <t>三亚恒大御府-一期-住宅-14_15号楼2单元-2004</t>
  </si>
  <si>
    <t>三亚恒大御府-一期-住宅-14_15号楼2单元-2102</t>
  </si>
  <si>
    <t>三亚恒大御府-一期-住宅-14_15号楼2单元-2104</t>
  </si>
  <si>
    <t>三亚恒大御府-一期-住宅-14_15号楼2单元-2201</t>
  </si>
  <si>
    <t>三亚恒大御府-一期-住宅-14_15号楼2单元-2203</t>
  </si>
  <si>
    <t>三亚恒大御府-一期-住宅-14_15号楼2单元-2301</t>
  </si>
  <si>
    <t>三亚恒大御府-一期-住宅-14_15号楼2单元-2302</t>
  </si>
  <si>
    <t>三亚恒大御府-一期-住宅-14_15号楼2单元-2303</t>
  </si>
  <si>
    <t>三亚恒大御府-一期-住宅-14_15号楼2单元-2304</t>
  </si>
  <si>
    <t>住宅-16号楼</t>
  </si>
  <si>
    <t>三亚恒大御府-一期-住宅-16号楼-201</t>
  </si>
  <si>
    <t>三亚恒大御府-一期-住宅-16号楼-202</t>
  </si>
  <si>
    <t>三亚恒大御府-一期-住宅-16号楼-203</t>
  </si>
  <si>
    <t>三亚恒大御府-一期-住宅-16号楼-204</t>
  </si>
  <si>
    <t>三亚恒大御府-一期-住宅-16号楼-205</t>
  </si>
  <si>
    <t>三亚恒大御府-一期-住宅-16号楼-206</t>
  </si>
  <si>
    <t>三亚恒大御府-一期-住宅-16号楼-301</t>
  </si>
  <si>
    <t>三亚恒大御府-一期-住宅-16号楼-303</t>
  </si>
  <si>
    <t>三亚恒大御府-一期-住宅-16号楼-304</t>
  </si>
  <si>
    <t>三亚恒大御府-一期-住宅-16号楼-305</t>
  </si>
  <si>
    <t>三亚恒大御府-一期-住宅-16号楼-306</t>
  </si>
  <si>
    <t>三亚恒大御府-一期-住宅-16号楼-401</t>
  </si>
  <si>
    <t>三亚恒大御府-一期-住宅-16号楼-403</t>
  </si>
  <si>
    <t>三亚恒大御府-一期-住宅-16号楼-405</t>
  </si>
  <si>
    <t>三亚恒大御府-一期-住宅-16号楼-406</t>
  </si>
  <si>
    <t>三亚恒大御府-一期-住宅-16号楼-501</t>
  </si>
  <si>
    <t>三亚恒大御府-一期-住宅-16号楼-502</t>
  </si>
  <si>
    <t>三亚恒大御府-一期-住宅-16号楼-503</t>
  </si>
  <si>
    <t>三亚恒大御府-一期-住宅-16号楼-504</t>
  </si>
  <si>
    <t>三亚恒大御府-一期-住宅-16号楼-505</t>
  </si>
  <si>
    <t>三亚恒大御府-一期-住宅-16号楼-506</t>
  </si>
  <si>
    <t>三亚恒大御府-一期-住宅-16号楼-601</t>
  </si>
  <si>
    <t>三亚恒大御府-一期-住宅-16号楼-602</t>
  </si>
  <si>
    <t>三亚恒大御府-一期-住宅-16号楼-603</t>
  </si>
  <si>
    <t>三亚恒大御府-一期-住宅-16号楼-604</t>
  </si>
  <si>
    <t>三亚恒大御府-一期-住宅-16号楼-605</t>
  </si>
  <si>
    <t>三亚恒大御府-一期-住宅-16号楼-606</t>
  </si>
  <si>
    <t>三亚恒大御府-一期-住宅-16号楼-701</t>
  </si>
  <si>
    <t>三亚恒大御府-一期-住宅-16号楼-702</t>
  </si>
  <si>
    <t>三亚恒大御府-一期-住宅-16号楼-703</t>
  </si>
  <si>
    <t>三亚恒大御府-一期-住宅-16号楼-704</t>
  </si>
  <si>
    <t>三亚恒大御府-一期-住宅-16号楼-705</t>
  </si>
  <si>
    <t>三亚恒大御府-一期-住宅-16号楼-706</t>
  </si>
  <si>
    <t>三亚恒大御府-一期-住宅-16号楼-801</t>
  </si>
  <si>
    <t>三亚恒大御府-一期-住宅-16号楼-802</t>
  </si>
  <si>
    <t>三亚恒大御府-一期-住宅-16号楼-803</t>
  </si>
  <si>
    <t>三亚恒大御府-一期-住宅-16号楼-804</t>
  </si>
  <si>
    <t>三亚恒大御府-一期-住宅-16号楼-805</t>
  </si>
  <si>
    <t>三亚恒大御府-一期-住宅-16号楼-806</t>
  </si>
  <si>
    <t>三亚恒大御府-一期-住宅-16号楼-901</t>
  </si>
  <si>
    <t>三亚恒大御府-一期-住宅-16号楼-902</t>
  </si>
  <si>
    <t>三亚恒大御府-一期-住宅-16号楼-903</t>
  </si>
  <si>
    <t>三亚恒大御府-一期-住宅-16号楼-904</t>
  </si>
  <si>
    <t>三亚恒大御府-一期-住宅-16号楼-905</t>
  </si>
  <si>
    <t>三亚恒大御府-一期-住宅-16号楼-906</t>
  </si>
  <si>
    <t>三亚恒大御府-一期-住宅-16号楼-1001</t>
  </si>
  <si>
    <t>三亚恒大御府-一期-住宅-16号楼-1003</t>
  </si>
  <si>
    <t>三亚恒大御府-一期-住宅-16号楼-1004</t>
  </si>
  <si>
    <t>三亚恒大御府-一期-住宅-16号楼-1005</t>
  </si>
  <si>
    <t>三亚恒大御府-一期-住宅-16号楼-1006</t>
  </si>
  <si>
    <t>三亚恒大御府-一期-住宅-16号楼-1101</t>
  </si>
  <si>
    <t>三亚恒大御府-一期-住宅-16号楼-1103</t>
  </si>
  <si>
    <t>三亚恒大御府-一期-住宅-16号楼-1104</t>
  </si>
  <si>
    <t>三亚恒大御府-一期-住宅-16号楼-1105</t>
  </si>
  <si>
    <t>三亚恒大御府-一期-住宅-16号楼-1106</t>
  </si>
  <si>
    <t>三亚恒大御府-一期-住宅-16号楼-1201</t>
  </si>
  <si>
    <t>三亚恒大御府-一期-住宅-16号楼-1202</t>
  </si>
  <si>
    <t>三亚恒大御府-一期-住宅-16号楼-1203</t>
  </si>
  <si>
    <t>三亚恒大御府-一期-住宅-16号楼-1204</t>
  </si>
  <si>
    <t>三亚恒大御府-一期-住宅-16号楼-1205</t>
  </si>
  <si>
    <t>三亚恒大御府-一期-住宅-16号楼-1206</t>
  </si>
  <si>
    <t>三亚恒大御府-一期-住宅-16号楼-1301</t>
  </si>
  <si>
    <t>三亚恒大御府-一期-住宅-16号楼-1302</t>
  </si>
  <si>
    <t>三亚恒大御府-一期-住宅-16号楼-1303</t>
  </si>
  <si>
    <t>三亚恒大御府-一期-住宅-16号楼-1304</t>
  </si>
  <si>
    <t>三亚恒大御府-一期-住宅-16号楼-1306</t>
  </si>
  <si>
    <t>三亚恒大御府-一期-住宅-16号楼-1401</t>
  </si>
  <si>
    <t>三亚恒大御府-一期-住宅-16号楼-1402</t>
  </si>
  <si>
    <t>三亚恒大御府-一期-住宅-16号楼-1404</t>
  </si>
  <si>
    <t>三亚恒大御府-一期-住宅-16号楼-1405</t>
  </si>
  <si>
    <t>三亚恒大御府-一期-住宅-16号楼-1406</t>
  </si>
  <si>
    <t>三亚恒大御府-一期-住宅-16号楼-1501</t>
  </si>
  <si>
    <t>三亚恒大御府-一期-住宅-16号楼-1502</t>
  </si>
  <si>
    <t>三亚恒大御府-一期-住宅-16号楼-1503</t>
  </si>
  <si>
    <t>三亚恒大御府-一期-住宅-16号楼-1504</t>
  </si>
  <si>
    <t>三亚恒大御府-一期-住宅-16号楼-1505</t>
  </si>
  <si>
    <t>三亚恒大御府-一期-住宅-16号楼-1506</t>
  </si>
  <si>
    <t>三亚恒大御府-一期-住宅-16号楼-1601</t>
  </si>
  <si>
    <t>三亚恒大御府-一期-住宅-16号楼-1602</t>
  </si>
  <si>
    <t>三亚恒大御府-一期-住宅-16号楼-1604</t>
  </si>
  <si>
    <t>三亚恒大御府-一期-住宅-16号楼-1605</t>
  </si>
  <si>
    <t>三亚恒大御府-一期-住宅-16号楼-1701</t>
  </si>
  <si>
    <t>三亚恒大御府-一期-住宅-16号楼-1702</t>
  </si>
  <si>
    <t>三亚恒大御府-一期-住宅-16号楼-1703</t>
  </si>
  <si>
    <t>三亚恒大御府-一期-住宅-16号楼-1704</t>
  </si>
  <si>
    <t>三亚恒大御府-一期-住宅-16号楼-1705</t>
  </si>
  <si>
    <t>三亚恒大御府-一期-住宅-16号楼-1706</t>
  </si>
  <si>
    <t>三亚恒大御府-一期-住宅-16号楼-1801</t>
  </si>
  <si>
    <t>三亚恒大御府-一期-住宅-16号楼-1802</t>
  </si>
  <si>
    <t>三亚恒大御府-一期-住宅-16号楼-1803</t>
  </si>
  <si>
    <t>三亚恒大御府-一期-住宅-16号楼-1805</t>
  </si>
  <si>
    <t>三亚恒大御府-一期-住宅-16号楼-1806</t>
  </si>
  <si>
    <t>三亚恒大御府-一期-住宅-16号楼-1901</t>
  </si>
  <si>
    <t>三亚恒大御府-一期-住宅-16号楼-1902</t>
  </si>
  <si>
    <t>三亚恒大御府-一期-住宅-16号楼-1903</t>
  </si>
  <si>
    <t>三亚恒大御府-一期-住宅-16号楼-1904</t>
  </si>
  <si>
    <t>三亚恒大御府-一期-住宅-16号楼-1905</t>
  </si>
  <si>
    <t>三亚恒大御府-一期-住宅-16号楼-1906</t>
  </si>
  <si>
    <t>三亚恒大御府-一期-住宅-16号楼-2001</t>
  </si>
  <si>
    <t>三亚恒大御府-一期-住宅-16号楼-2002</t>
  </si>
  <si>
    <t>三亚恒大御府-一期-住宅-16号楼-2003</t>
  </si>
  <si>
    <t>三亚恒大御府-一期-住宅-16号楼-2004</t>
  </si>
  <si>
    <t>三亚恒大御府-一期-住宅-16号楼-2005</t>
  </si>
  <si>
    <t>三亚恒大御府-一期-住宅-16号楼-2103</t>
  </si>
  <si>
    <t>三亚恒大御府-一期-住宅-16号楼-2104</t>
  </si>
  <si>
    <t>三亚恒大御府-一期-住宅-16号楼-2105</t>
  </si>
  <si>
    <t>三亚恒大御府-一期-住宅-16号楼-2106</t>
  </si>
  <si>
    <t>三亚恒大御府-一期-住宅-16号楼-2201</t>
  </si>
  <si>
    <t>三亚恒大御府-一期-住宅-16号楼-2202</t>
  </si>
  <si>
    <t>三亚恒大御府-一期-住宅-16号楼-2203</t>
  </si>
  <si>
    <t>三亚恒大御府-一期-住宅-16号楼-2204</t>
  </si>
  <si>
    <t>三亚恒大御府-一期-住宅-16号楼-2205</t>
  </si>
  <si>
    <t>三亚恒大御府-一期-住宅-16号楼-2206</t>
  </si>
  <si>
    <t>三亚恒大御府-一期-住宅-16号楼-2301</t>
  </si>
  <si>
    <t>三亚恒大御府-一期-住宅-16号楼-2302</t>
  </si>
  <si>
    <t>三亚恒大御府-一期-住宅-16号楼-2303</t>
  </si>
  <si>
    <t>三亚恒大御府-一期-住宅-16号楼-2304</t>
  </si>
  <si>
    <t>三亚恒大御府-一期-住宅-16号楼-2305</t>
  </si>
  <si>
    <t>三亚恒大御府-一期-住宅-16号楼-2306</t>
  </si>
  <si>
    <t>住宅-5_6号楼2单元</t>
  </si>
  <si>
    <t>三亚恒大御府-一期-住宅-5_6号楼2单元-601</t>
  </si>
  <si>
    <t>三亚恒大御府-一期-住宅-5_6号楼2单元-2104</t>
  </si>
  <si>
    <t>三亚恒大御府-一期-住宅-5_6号楼2单元-2201</t>
  </si>
  <si>
    <t>三亚恒大御府-一期-住宅-5_6号楼2单元-2301</t>
  </si>
  <si>
    <t>住宅-7_8号楼1单元</t>
  </si>
  <si>
    <t>三亚恒大御府-一期-住宅-7_8号楼1单元-404</t>
  </si>
  <si>
    <t>三亚恒大御府-一期-住宅-7_8号楼1单元-501</t>
  </si>
  <si>
    <t>三亚恒大御府-一期-住宅-7_8号楼1单元-502</t>
  </si>
  <si>
    <t>三亚恒大御府-一期-住宅-7_8号楼1单元-503</t>
  </si>
  <si>
    <t>三亚恒大御府-一期-住宅-7_8号楼1单元-504</t>
  </si>
  <si>
    <t>三亚恒大御府-一期-住宅-7_8号楼1单元-505</t>
  </si>
  <si>
    <t>三亚恒大御府-一期-住宅-7_8号楼1单元-1305</t>
  </si>
  <si>
    <t>三亚恒大御府-一期-住宅-7_8号楼1单元-1403</t>
  </si>
  <si>
    <t>三亚恒大御府-一期-住宅-7_8号楼1单元-1803</t>
  </si>
  <si>
    <t>三亚恒大御府-一期-住宅-7_8号楼1单元-2003</t>
  </si>
  <si>
    <t>三亚恒大御府-一期-住宅-7_8号楼1单元-2103</t>
  </si>
  <si>
    <t>住宅-7_8号楼2单元</t>
  </si>
  <si>
    <t>三亚恒大御府-一期-住宅-7_8号楼2单元-201</t>
  </si>
  <si>
    <t>三亚恒大御府-一期-住宅-7_8号楼2单元-501</t>
  </si>
  <si>
    <t>三亚恒大御府-一期-住宅-7_8号楼2单元-502</t>
  </si>
  <si>
    <t>三亚恒大御府-一期-住宅-7_8号楼2单元-503</t>
  </si>
  <si>
    <t>三亚恒大御府-一期-住宅-7_8号楼2单元-504</t>
  </si>
  <si>
    <t>住宅-9_10号楼1单元</t>
  </si>
  <si>
    <t>三亚恒大御府-一期-住宅-9_10号楼1单元-203</t>
  </si>
  <si>
    <t>三亚恒大御府-一期-住宅-9_10号楼1单元-603</t>
  </si>
  <si>
    <t>三亚恒大御府-一期-住宅-9_10号楼1单元-901</t>
  </si>
  <si>
    <t>三亚恒大御府-一期-住宅-9_10号楼1单元-1001</t>
  </si>
  <si>
    <t>三亚恒大御府-一期-住宅-9_10号楼1单元-1003</t>
  </si>
  <si>
    <t>三亚恒大御府-一期-住宅-9_10号楼1单元-1203</t>
  </si>
  <si>
    <t>三亚恒大御府-一期-住宅-9_10号楼1单元-1401</t>
  </si>
  <si>
    <t>三亚恒大御府-一期-住宅-9_10号楼1单元-1501</t>
  </si>
  <si>
    <t>三亚恒大御府-一期-住宅-9_10号楼1单元-1801</t>
  </si>
  <si>
    <t>三亚恒大御府-一期-住宅-9_10号楼1单元-1901</t>
  </si>
  <si>
    <t>三亚恒大御府-一期-住宅-9_10号楼1单元-2101</t>
  </si>
  <si>
    <t>三亚恒大御府-一期-住宅-9_10号楼1单元-2201</t>
  </si>
  <si>
    <t>住宅-9_10号楼2单元</t>
  </si>
  <si>
    <t>三亚恒大御府-一期-住宅-9_10号楼2单元-803</t>
  </si>
  <si>
    <t>住宅-11_12号楼1单元</t>
  </si>
  <si>
    <t>三亚恒大御府-一期-住宅-11_12号楼1单元-305</t>
  </si>
  <si>
    <t>三亚恒大御府-一期-住宅-11_12号楼1单元-503</t>
  </si>
  <si>
    <t>三亚恒大御府-一期-住宅-11_12号楼1单元-1002</t>
  </si>
  <si>
    <t>住宅-11_12号楼2单元</t>
  </si>
  <si>
    <t>三亚恒大御府-一期-住宅-11_12号楼2单元-303</t>
  </si>
  <si>
    <t>三亚恒大御府-一期-住宅-11_12号楼2单元-803</t>
  </si>
  <si>
    <t>住宅-19_20号楼2单元</t>
  </si>
  <si>
    <t>三亚恒大御府-一期-住宅-19_20号楼2单元-202</t>
  </si>
  <si>
    <t>三亚恒大御府-一期-住宅-19_20号楼2单元-203</t>
  </si>
  <si>
    <t>三亚恒大御府-一期-住宅-19_20号楼2单元-301</t>
  </si>
  <si>
    <t>三亚恒大御府-一期-住宅-19_20号楼2单元-302</t>
  </si>
  <si>
    <t>三亚恒大御府-一期-住宅-19_20号楼2单元-303</t>
  </si>
  <si>
    <t>三亚恒大御府-一期-住宅-19_20号楼2单元-304</t>
  </si>
  <si>
    <t>三亚恒大御府-一期-住宅-19_20号楼2单元-401</t>
  </si>
  <si>
    <t>三亚恒大御府-一期-住宅-19_20号楼2单元-402</t>
  </si>
  <si>
    <t>三亚恒大御府-一期-住宅-19_20号楼2单元-403</t>
  </si>
  <si>
    <t>三亚恒大御府-一期-住宅-19_20号楼2单元-404</t>
  </si>
  <si>
    <t>三亚恒大御府-一期-住宅-19_20号楼2单元-501</t>
  </si>
  <si>
    <t>三亚恒大御府-一期-住宅-19_20号楼2单元-502</t>
  </si>
  <si>
    <t>三亚恒大御府-一期-住宅-19_20号楼2单元-503</t>
  </si>
  <si>
    <t>三亚恒大御府-一期-住宅-19_20号楼2单元-504</t>
  </si>
  <si>
    <t>三亚恒大御府-一期-住宅-19_20号楼2单元-601</t>
  </si>
  <si>
    <t>三亚恒大御府-一期-住宅-19_20号楼2单元-602</t>
  </si>
  <si>
    <t>三亚恒大御府-一期-住宅-19_20号楼2单元-603</t>
  </si>
  <si>
    <t>三亚恒大御府-一期-住宅-19_20号楼2单元-604</t>
  </si>
  <si>
    <t>三亚恒大御府-一期-住宅-19_20号楼2单元-701</t>
  </si>
  <si>
    <t>三亚恒大御府-一期-住宅-19_20号楼2单元-702</t>
  </si>
  <si>
    <t>三亚恒大御府-一期-住宅-19_20号楼2单元-703</t>
  </si>
  <si>
    <t>三亚恒大御府-一期-住宅-19_20号楼2单元-704</t>
  </si>
  <si>
    <t>三亚恒大御府-一期-住宅-19_20号楼2单元-801</t>
  </si>
  <si>
    <t>三亚恒大御府-一期-住宅-19_20号楼2单元-802</t>
  </si>
  <si>
    <t>三亚恒大御府-一期-住宅-19_20号楼2单元-803</t>
  </si>
  <si>
    <t>三亚恒大御府-一期-住宅-19_20号楼2单元-804</t>
  </si>
  <si>
    <t>三亚恒大御府-一期-住宅-19_20号楼2单元-901</t>
  </si>
  <si>
    <t>三亚恒大御府-一期-住宅-19_20号楼2单元-902</t>
  </si>
  <si>
    <t>三亚恒大御府-一期-住宅-19_20号楼2单元-903</t>
  </si>
  <si>
    <t>三亚恒大御府-一期-住宅-19_20号楼2单元-904</t>
  </si>
  <si>
    <t>三亚恒大御府-一期-住宅-19_20号楼2单元-1001</t>
  </si>
  <si>
    <t>三亚恒大御府-一期-住宅-19_20号楼2单元-1002</t>
  </si>
  <si>
    <t>三亚恒大御府-一期-住宅-19_20号楼2单元-1003</t>
  </si>
  <si>
    <t>三亚恒大御府-一期-住宅-19_20号楼2单元-1004</t>
  </si>
  <si>
    <t>三亚恒大御府-一期-住宅-19_20号楼2单元-1101</t>
  </si>
  <si>
    <t>三亚恒大御府-一期-住宅-19_20号楼2单元-1102</t>
  </si>
  <si>
    <t>三亚恒大御府-一期-住宅-19_20号楼2单元-1103</t>
  </si>
  <si>
    <t>三亚恒大御府-一期-住宅-19_20号楼2单元-1104</t>
  </si>
  <si>
    <t>三亚恒大御府-一期-住宅-19_20号楼2单元-1201</t>
  </si>
  <si>
    <t>三亚恒大御府-一期-住宅-19_20号楼2单元-1202</t>
  </si>
  <si>
    <t>三亚恒大御府-一期-住宅-19_20号楼2单元-1203</t>
  </si>
  <si>
    <t>三亚恒大御府-一期-住宅-19_20号楼2单元-1204</t>
  </si>
  <si>
    <t>三亚恒大御府-一期-住宅-19_20号楼2单元-1301</t>
  </si>
  <si>
    <t>三亚恒大御府-一期-住宅-19_20号楼2单元-1302</t>
  </si>
  <si>
    <t>三亚恒大御府-一期-住宅-19_20号楼2单元-1303</t>
  </si>
  <si>
    <t>三亚恒大御府-一期-住宅-19_20号楼2单元-1304</t>
  </si>
  <si>
    <t>三亚恒大御府-一期-住宅-19_20号楼2单元-1401</t>
  </si>
  <si>
    <t>三亚恒大御府-一期-住宅-19_20号楼2单元-1402</t>
  </si>
  <si>
    <t>三亚恒大御府-一期-住宅-19_20号楼2单元-1403</t>
  </si>
  <si>
    <t>三亚恒大御府-一期-住宅-19_20号楼2单元-1404</t>
  </si>
  <si>
    <t>三亚恒大御府-一期-住宅-19_20号楼2单元-1501</t>
  </si>
  <si>
    <t>三亚恒大御府-一期-住宅-19_20号楼2单元-1502</t>
  </si>
  <si>
    <t>三亚恒大御府-一期-住宅-19_20号楼2单元-1503</t>
  </si>
  <si>
    <t>三亚恒大御府-一期-住宅-19_20号楼2单元-1504</t>
  </si>
  <si>
    <t>三亚恒大御府-一期-住宅-19_20号楼2单元-1601</t>
  </si>
  <si>
    <t>三亚恒大御府-一期-住宅-19_20号楼2单元-1602</t>
  </si>
  <si>
    <t>三亚恒大御府-一期-住宅-19_20号楼2单元-1603</t>
  </si>
  <si>
    <t>三亚恒大御府-一期-住宅-19_20号楼2单元-1604</t>
  </si>
  <si>
    <t>三亚恒大御府-一期-住宅-19_20号楼2单元-1701</t>
  </si>
  <si>
    <t>三亚恒大御府-一期-住宅-19_20号楼2单元-1702</t>
  </si>
  <si>
    <t>三亚恒大御府-一期-住宅-19_20号楼2单元-1703</t>
  </si>
  <si>
    <t>三亚恒大御府-一期-住宅-19_20号楼2单元-1704</t>
  </si>
  <si>
    <t>三亚恒大御府-一期-住宅-19_20号楼2单元-1801</t>
  </si>
  <si>
    <t>三亚恒大御府-一期-住宅-19_20号楼2单元-1802</t>
  </si>
  <si>
    <t>三亚恒大御府-一期-住宅-19_20号楼2单元-1803</t>
  </si>
  <si>
    <t>三亚恒大御府-一期-住宅-19_20号楼2单元-1804</t>
  </si>
  <si>
    <t>三亚恒大御府-一期-住宅-19_20号楼2单元-1901</t>
  </si>
  <si>
    <t>三亚恒大御府-一期-住宅-19_20号楼2单元-1902</t>
  </si>
  <si>
    <t>三亚恒大御府-一期-住宅-19_20号楼2单元-1903</t>
  </si>
  <si>
    <t>三亚恒大御府-一期-住宅-19_20号楼2单元-1904</t>
  </si>
  <si>
    <t>三亚恒大御府-一期-住宅-19_20号楼2单元-2001</t>
  </si>
  <si>
    <t>三亚恒大御府-一期-住宅-19_20号楼2单元-2002</t>
  </si>
  <si>
    <t>三亚恒大御府-一期-住宅-19_20号楼2单元-2003</t>
  </si>
  <si>
    <t>三亚恒大御府-一期-住宅-19_20号楼2单元-2004</t>
  </si>
  <si>
    <t>三亚恒大御府-一期-住宅-19_20号楼2单元-2101</t>
  </si>
  <si>
    <t>三亚恒大御府-一期-住宅-19_20号楼2单元-2102</t>
  </si>
  <si>
    <t>三亚恒大御府-一期-住宅-19_20号楼2单元-2103</t>
  </si>
  <si>
    <t>三亚恒大御府-一期-住宅-19_20号楼2单元-2104</t>
  </si>
  <si>
    <t>三亚恒大御府-一期-住宅-19_20号楼2单元-2201</t>
  </si>
  <si>
    <t>三亚恒大御府-一期-住宅-19_20号楼2单元-2202</t>
  </si>
  <si>
    <t>三亚恒大御府-一期-住宅-19_20号楼2单元-2203</t>
  </si>
  <si>
    <t>三亚恒大御府-一期-住宅-19_20号楼2单元-2204</t>
  </si>
  <si>
    <t>三亚恒大御府-一期-住宅-19_20号楼2单元-2301</t>
  </si>
  <si>
    <t>三亚恒大御府-一期-住宅-19_20号楼2单元-2302</t>
  </si>
  <si>
    <t>三亚恒大御府-一期-住宅-19_20号楼2单元-2303</t>
  </si>
  <si>
    <t>三亚恒大御府-一期-住宅-19_20号楼2单元-2304</t>
  </si>
  <si>
    <t>住宅-17_18号楼1单元</t>
  </si>
  <si>
    <t>三亚恒大御府-一期-住宅-17_18号楼1单元-103</t>
  </si>
  <si>
    <t>三亚恒大御府-一期-住宅-17_18号楼1单元-104</t>
  </si>
  <si>
    <t>三亚恒大御府-一期-住宅-17_18号楼1单元-201</t>
  </si>
  <si>
    <t>三亚恒大御府-一期-住宅-17_18号楼1单元-202</t>
  </si>
  <si>
    <t>三亚恒大御府-一期-住宅-17_18号楼1单元-203</t>
  </si>
  <si>
    <t>三亚恒大御府-一期-住宅-17_18号楼1单元-204</t>
  </si>
  <si>
    <t>三亚恒大御府-一期-住宅-17_18号楼1单元-205</t>
  </si>
  <si>
    <t>三亚恒大御府-一期-住宅-17_18号楼1单元-301</t>
  </si>
  <si>
    <t>三亚恒大御府-一期-住宅-17_18号楼1单元-302</t>
  </si>
  <si>
    <t>三亚恒大御府-一期-住宅-17_18号楼1单元-303</t>
  </si>
  <si>
    <t>三亚恒大御府-一期-住宅-17_18号楼1单元-304</t>
  </si>
  <si>
    <t>三亚恒大御府-一期-住宅-17_18号楼1单元-305</t>
  </si>
  <si>
    <t>三亚恒大御府-一期-住宅-17_18号楼1单元-401</t>
  </si>
  <si>
    <t>三亚恒大御府-一期-住宅-17_18号楼1单元-403</t>
  </si>
  <si>
    <t>三亚恒大御府-一期-住宅-17_18号楼1单元-404</t>
  </si>
  <si>
    <t>三亚恒大御府-一期-住宅-17_18号楼1单元-405</t>
  </si>
  <si>
    <t>三亚恒大御府-一期-住宅-17_18号楼1单元-501</t>
  </si>
  <si>
    <t>三亚恒大御府-一期-住宅-17_18号楼1单元-502</t>
  </si>
  <si>
    <t>三亚恒大御府-一期-住宅-17_18号楼1单元-503</t>
  </si>
  <si>
    <t>三亚恒大御府-一期-住宅-17_18号楼1单元-504</t>
  </si>
  <si>
    <t>三亚恒大御府-一期-住宅-17_18号楼1单元-601</t>
  </si>
  <si>
    <t>三亚恒大御府-一期-住宅-17_18号楼1单元-602</t>
  </si>
  <si>
    <t>三亚恒大御府-一期-住宅-17_18号楼1单元-603</t>
  </si>
  <si>
    <t>三亚恒大御府-一期-住宅-17_18号楼1单元-701</t>
  </si>
  <si>
    <t>三亚恒大御府-一期-住宅-17_18号楼1单元-702</t>
  </si>
  <si>
    <t>三亚恒大御府-一期-住宅-17_18号楼1单元-703</t>
  </si>
  <si>
    <t>三亚恒大御府-一期-住宅-17_18号楼1单元-704</t>
  </si>
  <si>
    <t>三亚恒大御府-一期-住宅-17_18号楼1单元-705</t>
  </si>
  <si>
    <t>三亚恒大御府-一期-住宅-17_18号楼1单元-801</t>
  </si>
  <si>
    <t>三亚恒大御府-一期-住宅-17_18号楼1单元-802</t>
  </si>
  <si>
    <t>三亚恒大御府-一期-住宅-17_18号楼1单元-803</t>
  </si>
  <si>
    <t>三亚恒大御府-一期-住宅-17_18号楼1单元-805</t>
  </si>
  <si>
    <t>三亚恒大御府-一期-住宅-17_18号楼1单元-902</t>
  </si>
  <si>
    <t>三亚恒大御府-一期-住宅-17_18号楼1单元-903</t>
  </si>
  <si>
    <t>三亚恒大御府-一期-住宅-17_18号楼1单元-1001</t>
  </si>
  <si>
    <t>三亚恒大御府-一期-住宅-17_18号楼1单元-1002</t>
  </si>
  <si>
    <t>三亚恒大御府-一期-住宅-17_18号楼1单元-1003</t>
  </si>
  <si>
    <t>三亚恒大御府-一期-住宅-17_18号楼1单元-1004</t>
  </si>
  <si>
    <t>三亚恒大御府-一期-住宅-17_18号楼1单元-1005</t>
  </si>
  <si>
    <t>三亚恒大御府-一期-住宅-17_18号楼1单元-1101</t>
  </si>
  <si>
    <t>三亚恒大御府-一期-住宅-17_18号楼1单元-1102</t>
  </si>
  <si>
    <t>三亚恒大御府-一期-住宅-17_18号楼1单元-1103</t>
  </si>
  <si>
    <t>三亚恒大御府-一期-住宅-17_18号楼1单元-1104</t>
  </si>
  <si>
    <t>三亚恒大御府-一期-住宅-17_18号楼1单元-1105</t>
  </si>
  <si>
    <t>三亚恒大御府-一期-住宅-17_18号楼1单元-1202</t>
  </si>
  <si>
    <t>三亚恒大御府-一期-住宅-17_18号楼1单元-1203</t>
  </si>
  <si>
    <t>三亚恒大御府-一期-住宅-17_18号楼1单元-1205</t>
  </si>
  <si>
    <t>三亚恒大御府-一期-住宅-17_18号楼1单元-1301</t>
  </si>
  <si>
    <t>三亚恒大御府-一期-住宅-17_18号楼1单元-1302</t>
  </si>
  <si>
    <t>三亚恒大御府-一期-住宅-17_18号楼1单元-1303</t>
  </si>
  <si>
    <t>三亚恒大御府-一期-住宅-17_18号楼1单元-1305</t>
  </si>
  <si>
    <t>三亚恒大御府-一期-住宅-17_18号楼1单元-1401</t>
  </si>
  <si>
    <t>三亚恒大御府-一期-住宅-17_18号楼1单元-1402</t>
  </si>
  <si>
    <t>三亚恒大御府-一期-住宅-17_18号楼1单元-1403</t>
  </si>
  <si>
    <t>三亚恒大御府-一期-住宅-17_18号楼1单元-1404</t>
  </si>
  <si>
    <t>三亚恒大御府-一期-住宅-17_18号楼1单元-1501</t>
  </si>
  <si>
    <t>三亚恒大御府-一期-住宅-17_18号楼1单元-1502</t>
  </si>
  <si>
    <t>三亚恒大御府-一期-住宅-17_18号楼1单元-1503</t>
  </si>
  <si>
    <t>三亚恒大御府-一期-住宅-17_18号楼1单元-1504</t>
  </si>
  <si>
    <t>三亚恒大御府-一期-住宅-17_18号楼1单元-1505</t>
  </si>
  <si>
    <t>三亚恒大御府-一期-住宅-17_18号楼1单元-1601</t>
  </si>
  <si>
    <t>三亚恒大御府-一期-住宅-17_18号楼1单元-1602</t>
  </si>
  <si>
    <t>三亚恒大御府-一期-住宅-17_18号楼1单元-1603</t>
  </si>
  <si>
    <t>三亚恒大御府-一期-住宅-17_18号楼1单元-1604</t>
  </si>
  <si>
    <t>三亚恒大御府-一期-住宅-17_18号楼1单元-1605</t>
  </si>
  <si>
    <t>三亚恒大御府-一期-住宅-17_18号楼1单元-1701</t>
  </si>
  <si>
    <t>三亚恒大御府-一期-住宅-17_18号楼1单元-1703</t>
  </si>
  <si>
    <t>三亚恒大御府-一期-住宅-17_18号楼1单元-1704</t>
  </si>
  <si>
    <t>三亚恒大御府-一期-住宅-17_18号楼1单元-1705</t>
  </si>
  <si>
    <t>三亚恒大御府-一期-住宅-17_18号楼1单元-1801</t>
  </si>
  <si>
    <t>三亚恒大御府-一期-住宅-17_18号楼1单元-1802</t>
  </si>
  <si>
    <t>三亚恒大御府-一期-住宅-17_18号楼1单元-1803</t>
  </si>
  <si>
    <t>三亚恒大御府-一期-住宅-17_18号楼1单元-1804</t>
  </si>
  <si>
    <t>三亚恒大御府-一期-住宅-17_18号楼1单元-1805</t>
  </si>
  <si>
    <t>三亚恒大御府-一期-住宅-17_18号楼1单元-1901</t>
  </si>
  <si>
    <t>三亚恒大御府-一期-住宅-17_18号楼1单元-1902</t>
  </si>
  <si>
    <t>三亚恒大御府-一期-住宅-17_18号楼1单元-1903</t>
  </si>
  <si>
    <t>三亚恒大御府-一期-住宅-17_18号楼1单元-1904</t>
  </si>
  <si>
    <t>三亚恒大御府-一期-住宅-17_18号楼1单元-1905</t>
  </si>
  <si>
    <t>三亚恒大御府-一期-住宅-17_18号楼1单元-2001</t>
  </si>
  <si>
    <t>三亚恒大御府-一期-住宅-17_18号楼1单元-2002</t>
  </si>
  <si>
    <t>三亚恒大御府-一期-住宅-17_18号楼1单元-2003</t>
  </si>
  <si>
    <t>三亚恒大御府-一期-住宅-17_18号楼1单元-2004</t>
  </si>
  <si>
    <t>三亚恒大御府-一期-住宅-17_18号楼1单元-2005</t>
  </si>
  <si>
    <t>三亚恒大御府-一期-住宅-17_18号楼1单元-2101</t>
  </si>
  <si>
    <t>三亚恒大御府-一期-住宅-17_18号楼1单元-2102</t>
  </si>
  <si>
    <t>三亚恒大御府-一期-住宅-17_18号楼1单元-2103</t>
  </si>
  <si>
    <t>三亚恒大御府-一期-住宅-17_18号楼1单元-2104</t>
  </si>
  <si>
    <t>三亚恒大御府-一期-住宅-17_18号楼1单元-2105</t>
  </si>
  <si>
    <t>三亚恒大御府-一期-住宅-17_18号楼1单元-2201</t>
  </si>
  <si>
    <t>三亚恒大御府-一期-住宅-17_18号楼1单元-2202</t>
  </si>
  <si>
    <t>三亚恒大御府-一期-住宅-17_18号楼1单元-2203</t>
  </si>
  <si>
    <t>三亚恒大御府-一期-住宅-17_18号楼1单元-2204</t>
  </si>
  <si>
    <t>三亚恒大御府-一期-住宅-17_18号楼1单元-2205</t>
  </si>
  <si>
    <t>三亚恒大御府-一期-住宅-17_18号楼1单元-2301</t>
  </si>
  <si>
    <t>三亚恒大御府-一期-住宅-17_18号楼1单元-2302</t>
  </si>
  <si>
    <t>三亚恒大御府-一期-住宅-17_18号楼1单元-2303</t>
  </si>
  <si>
    <t>三亚恒大御府-一期-住宅-17_18号楼1单元-2304</t>
  </si>
  <si>
    <t>三亚恒大御府-一期-住宅-17_18号楼1单元-2305</t>
  </si>
  <si>
    <t>住宅-17_18号楼2单元</t>
  </si>
  <si>
    <t>三亚恒大御府-一期-住宅-17_18号楼2单元-102</t>
  </si>
  <si>
    <t>三亚恒大御府-一期-住宅-17_18号楼2单元-104</t>
  </si>
  <si>
    <t>三亚恒大御府-一期-住宅-17_18号楼2单元-201</t>
  </si>
  <si>
    <t>三亚恒大御府-一期-住宅-17_18号楼2单元-202</t>
  </si>
  <si>
    <t>三亚恒大御府-一期-住宅-17_18号楼2单元-203</t>
  </si>
  <si>
    <t>三亚恒大御府-一期-住宅-17_18号楼2单元-204</t>
  </si>
  <si>
    <t>三亚恒大御府-一期-住宅-17_18号楼2单元-301</t>
  </si>
  <si>
    <t>三亚恒大御府-一期-住宅-17_18号楼2单元-302</t>
  </si>
  <si>
    <t>三亚恒大御府-一期-住宅-17_18号楼2单元-303</t>
  </si>
  <si>
    <t>三亚恒大御府-一期-住宅-17_18号楼2单元-304</t>
  </si>
  <si>
    <t>三亚恒大御府-一期-住宅-17_18号楼2单元-402</t>
  </si>
  <si>
    <t>三亚恒大御府-一期-住宅-17_18号楼2单元-403</t>
  </si>
  <si>
    <t>三亚恒大御府-一期-住宅-17_18号楼2单元-404</t>
  </si>
  <si>
    <t>三亚恒大御府-一期-住宅-17_18号楼2单元-503</t>
  </si>
  <si>
    <t>三亚恒大御府-一期-住宅-17_18号楼2单元-504</t>
  </si>
  <si>
    <t>三亚恒大御府-一期-住宅-17_18号楼2单元-601</t>
  </si>
  <si>
    <t>三亚恒大御府-一期-住宅-17_18号楼2单元-602</t>
  </si>
  <si>
    <t>三亚恒大御府-一期-住宅-17_18号楼2单元-603</t>
  </si>
  <si>
    <t>三亚恒大御府-一期-住宅-17_18号楼2单元-604</t>
  </si>
  <si>
    <t>三亚恒大御府-一期-住宅-17_18号楼2单元-701</t>
  </si>
  <si>
    <t>三亚恒大御府-一期-住宅-17_18号楼2单元-702</t>
  </si>
  <si>
    <t>三亚恒大御府-一期-住宅-17_18号楼2单元-703</t>
  </si>
  <si>
    <t>三亚恒大御府-一期-住宅-17_18号楼2单元-704</t>
  </si>
  <si>
    <t>三亚恒大御府-一期-住宅-17_18号楼2单元-801</t>
  </si>
  <si>
    <t>三亚恒大御府-一期-住宅-17_18号楼2单元-802</t>
  </si>
  <si>
    <t>三亚恒大御府-一期-住宅-17_18号楼2单元-803</t>
  </si>
  <si>
    <t>三亚恒大御府-一期-住宅-17_18号楼2单元-804</t>
  </si>
  <si>
    <t>三亚恒大御府-一期-住宅-17_18号楼2单元-901</t>
  </si>
  <si>
    <t>三亚恒大御府-一期-住宅-17_18号楼2单元-902</t>
  </si>
  <si>
    <t>三亚恒大御府-一期-住宅-17_18号楼2单元-903</t>
  </si>
  <si>
    <t>三亚恒大御府-一期-住宅-17_18号楼2单元-904</t>
  </si>
  <si>
    <t>三亚恒大御府-一期-住宅-17_18号楼2单元-1001</t>
  </si>
  <si>
    <t>三亚恒大御府-一期-住宅-17_18号楼2单元-1002</t>
  </si>
  <si>
    <t>三亚恒大御府-一期-住宅-17_18号楼2单元-1003</t>
  </si>
  <si>
    <t>三亚恒大御府-一期-住宅-17_18号楼2单元-1004</t>
  </si>
  <si>
    <t>三亚恒大御府-一期-住宅-17_18号楼2单元-1101</t>
  </si>
  <si>
    <t>三亚恒大御府-一期-住宅-17_18号楼2单元-1102</t>
  </si>
  <si>
    <t>三亚恒大御府-一期-住宅-17_18号楼2单元-1104</t>
  </si>
  <si>
    <t>三亚恒大御府-一期-住宅-17_18号楼2单元-1201</t>
  </si>
  <si>
    <t>三亚恒大御府-一期-住宅-17_18号楼2单元-1202</t>
  </si>
  <si>
    <t>三亚恒大御府-一期-住宅-17_18号楼2单元-1203</t>
  </si>
  <si>
    <t>三亚恒大御府-一期-住宅-17_18号楼2单元-1204</t>
  </si>
  <si>
    <t>三亚恒大御府-一期-住宅-17_18号楼2单元-1301</t>
  </si>
  <si>
    <t>三亚恒大御府-一期-住宅-17_18号楼2单元-1302</t>
  </si>
  <si>
    <t>三亚恒大御府-一期-住宅-17_18号楼2单元-1303</t>
  </si>
  <si>
    <t>三亚恒大御府-一期-住宅-17_18号楼2单元-1304</t>
  </si>
  <si>
    <t>三亚恒大御府-一期-住宅-17_18号楼2单元-1403</t>
  </si>
  <si>
    <t>三亚恒大御府-一期-住宅-17_18号楼2单元-1404</t>
  </si>
  <si>
    <t>三亚恒大御府-一期-住宅-17_18号楼2单元-1502</t>
  </si>
  <si>
    <t>三亚恒大御府-一期-住宅-17_18号楼2单元-1504</t>
  </si>
  <si>
    <t>三亚恒大御府-一期-住宅-17_18号楼2单元-1601</t>
  </si>
  <si>
    <t>三亚恒大御府-一期-住宅-17_18号楼2单元-1602</t>
  </si>
  <si>
    <t>三亚恒大御府-一期-住宅-17_18号楼2单元-1603</t>
  </si>
  <si>
    <t>三亚恒大御府-一期-住宅-17_18号楼2单元-1702</t>
  </si>
  <si>
    <t>三亚恒大御府-一期-住宅-17_18号楼2单元-1704</t>
  </si>
  <si>
    <t>三亚恒大御府-一期-住宅-17_18号楼2单元-1801</t>
  </si>
  <si>
    <t>三亚恒大御府-一期-住宅-17_18号楼2单元-1802</t>
  </si>
  <si>
    <t>三亚恒大御府-一期-住宅-17_18号楼2单元-1803</t>
  </si>
  <si>
    <t>三亚恒大御府-一期-住宅-17_18号楼2单元-1901</t>
  </si>
  <si>
    <t>三亚恒大御府-一期-住宅-17_18号楼2单元-1902</t>
  </si>
  <si>
    <t>三亚恒大御府-一期-住宅-17_18号楼2单元-1904</t>
  </si>
  <si>
    <t>三亚恒大御府-一期-住宅-17_18号楼2单元-2001</t>
  </si>
  <si>
    <t>三亚恒大御府-一期-住宅-17_18号楼2单元-2002</t>
  </si>
  <si>
    <t>三亚恒大御府-一期-住宅-17_18号楼2单元-2003</t>
  </si>
  <si>
    <t>三亚恒大御府-一期-住宅-17_18号楼2单元-2004</t>
  </si>
  <si>
    <t>三亚恒大御府-一期-住宅-17_18号楼2单元-2102</t>
  </si>
  <si>
    <t>三亚恒大御府-一期-住宅-17_18号楼2单元-2103</t>
  </si>
  <si>
    <t>三亚恒大御府-一期-住宅-17_18号楼2单元-2104</t>
  </si>
  <si>
    <t>三亚恒大御府-一期-住宅-17_18号楼2单元-2201</t>
  </si>
  <si>
    <t>三亚恒大御府-一期-住宅-17_18号楼2单元-2202</t>
  </si>
  <si>
    <t>三亚恒大御府-一期-住宅-17_18号楼2单元-2203</t>
  </si>
  <si>
    <t>三亚恒大御府-一期-住宅-17_18号楼2单元-2204</t>
  </si>
  <si>
    <t>三亚恒大御府-一期-住宅-17_18号楼2单元-2301</t>
  </si>
  <si>
    <t>三亚恒大御府-一期-住宅-17_18号楼2单元-2302</t>
  </si>
  <si>
    <t>三亚恒大御府-一期-住宅-17_18号楼2单元-2303</t>
  </si>
  <si>
    <t>三亚恒大御府-一期-住宅-17_18号楼2单元-2304</t>
  </si>
  <si>
    <t>住宅-19_20号楼1单元</t>
  </si>
  <si>
    <t>三亚恒大御府-一期-住宅-19_20号楼1单元-202</t>
  </si>
  <si>
    <t>三亚恒大御府-一期-住宅-19_20号楼1单元-203</t>
  </si>
  <si>
    <t>三亚恒大御府-一期-住宅-19_20号楼1单元-301</t>
  </si>
  <si>
    <t>三亚恒大御府-一期-住宅-19_20号楼1单元-302</t>
  </si>
  <si>
    <t>三亚恒大御府-一期-住宅-19_20号楼1单元-303</t>
  </si>
  <si>
    <t>三亚恒大御府-一期-住宅-19_20号楼1单元-304</t>
  </si>
  <si>
    <t>三亚恒大御府-一期-住宅-19_20号楼1单元-401</t>
  </si>
  <si>
    <t>三亚恒大御府-一期-住宅-19_20号楼1单元-402</t>
  </si>
  <si>
    <t>三亚恒大御府-一期-住宅-19_20号楼1单元-403</t>
  </si>
  <si>
    <t>三亚恒大御府-一期-住宅-19_20号楼1单元-404</t>
  </si>
  <si>
    <t>三亚恒大御府-一期-住宅-19_20号楼1单元-501</t>
  </si>
  <si>
    <t>三亚恒大御府-一期-住宅-19_20号楼1单元-502</t>
  </si>
  <si>
    <t>三亚恒大御府-一期-住宅-19_20号楼1单元-503</t>
  </si>
  <si>
    <t>三亚恒大御府-一期-住宅-19_20号楼1单元-504</t>
  </si>
  <si>
    <t>三亚恒大御府-一期-住宅-19_20号楼1单元-601</t>
  </si>
  <si>
    <t>三亚恒大御府-一期-住宅-19_20号楼1单元-602</t>
  </si>
  <si>
    <t>三亚恒大御府-一期-住宅-19_20号楼1单元-603</t>
  </si>
  <si>
    <t>三亚恒大御府-一期-住宅-19_20号楼1单元-604</t>
  </si>
  <si>
    <t>三亚恒大御府-一期-住宅-19_20号楼1单元-701</t>
  </si>
  <si>
    <t>三亚恒大御府-一期-住宅-19_20号楼1单元-702</t>
  </si>
  <si>
    <t>三亚恒大御府-一期-住宅-19_20号楼1单元-703</t>
  </si>
  <si>
    <t>三亚恒大御府-一期-住宅-19_20号楼1单元-704</t>
  </si>
  <si>
    <t>三亚恒大御府-一期-住宅-19_20号楼1单元-801</t>
  </si>
  <si>
    <t>三亚恒大御府-一期-住宅-19_20号楼1单元-802</t>
  </si>
  <si>
    <t>三亚恒大御府-一期-住宅-19_20号楼1单元-803</t>
  </si>
  <si>
    <t>三亚恒大御府-一期-住宅-19_20号楼1单元-804</t>
  </si>
  <si>
    <t>三亚恒大御府-一期-住宅-19_20号楼1单元-901</t>
  </si>
  <si>
    <t>三亚恒大御府-一期-住宅-19_20号楼1单元-902</t>
  </si>
  <si>
    <t>三亚恒大御府-一期-住宅-19_20号楼1单元-903</t>
  </si>
  <si>
    <t>三亚恒大御府-一期-住宅-19_20号楼1单元-904</t>
  </si>
  <si>
    <t>三亚恒大御府-一期-住宅-19_20号楼1单元-1001</t>
  </si>
  <si>
    <t>三亚恒大御府-一期-住宅-19_20号楼1单元-1002</t>
  </si>
  <si>
    <t>三亚恒大御府-一期-住宅-19_20号楼1单元-1003</t>
  </si>
  <si>
    <t>三亚恒大御府-一期-住宅-19_20号楼1单元-1004</t>
  </si>
  <si>
    <t>三亚恒大御府-一期-住宅-19_20号楼1单元-1101</t>
  </si>
  <si>
    <t>三亚恒大御府-一期-住宅-19_20号楼1单元-1102</t>
  </si>
  <si>
    <t>三亚恒大御府-一期-住宅-19_20号楼1单元-1103</t>
  </si>
  <si>
    <t>三亚恒大御府-一期-住宅-19_20号楼1单元-1104</t>
  </si>
  <si>
    <t>三亚恒大御府-一期-住宅-19_20号楼1单元-1201</t>
  </si>
  <si>
    <t>三亚恒大御府-一期-住宅-19_20号楼1单元-1202</t>
  </si>
  <si>
    <t>三亚恒大御府-一期-住宅-19_20号楼1单元-1203</t>
  </si>
  <si>
    <t>三亚恒大御府-一期-住宅-19_20号楼1单元-1204</t>
  </si>
  <si>
    <t>三亚恒大御府-一期-住宅-19_20号楼1单元-1301</t>
  </si>
  <si>
    <t>三亚恒大御府-一期-住宅-19_20号楼1单元-1302</t>
  </si>
  <si>
    <t>三亚恒大御府-一期-住宅-19_20号楼1单元-1303</t>
  </si>
  <si>
    <t>三亚恒大御府-一期-住宅-19_20号楼1单元-1304</t>
  </si>
  <si>
    <t>三亚恒大御府-一期-住宅-19_20号楼1单元-1401</t>
  </si>
  <si>
    <t>三亚恒大御府-一期-住宅-19_20号楼1单元-1402</t>
  </si>
  <si>
    <t>三亚恒大御府-一期-住宅-19_20号楼1单元-1403</t>
  </si>
  <si>
    <t>三亚恒大御府-一期-住宅-19_20号楼1单元-1404</t>
  </si>
  <si>
    <t>三亚恒大御府-一期-住宅-19_20号楼1单元-1501</t>
  </si>
  <si>
    <t>三亚恒大御府-一期-住宅-19_20号楼1单元-1502</t>
  </si>
  <si>
    <t>三亚恒大御府-一期-住宅-19_20号楼1单元-1503</t>
  </si>
  <si>
    <t>三亚恒大御府-一期-住宅-19_20号楼1单元-1504</t>
  </si>
  <si>
    <t>三亚恒大御府-一期-住宅-19_20号楼1单元-1601</t>
  </si>
  <si>
    <t>三亚恒大御府-一期-住宅-19_20号楼1单元-1602</t>
  </si>
  <si>
    <t>三亚恒大御府-一期-住宅-19_20号楼1单元-1603</t>
  </si>
  <si>
    <t>三亚恒大御府-一期-住宅-19_20号楼1单元-1604</t>
  </si>
  <si>
    <t>三亚恒大御府-一期-住宅-19_20号楼1单元-1701</t>
  </si>
  <si>
    <t>三亚恒大御府-一期-住宅-19_20号楼1单元-1702</t>
  </si>
  <si>
    <t>三亚恒大御府-一期-住宅-19_20号楼1单元-1703</t>
  </si>
  <si>
    <t>三亚恒大御府-一期-住宅-19_20号楼1单元-1704</t>
  </si>
  <si>
    <t>三亚恒大御府-一期-住宅-19_20号楼1单元-1801</t>
  </si>
  <si>
    <t>三亚恒大御府-一期-住宅-19_20号楼1单元-1802</t>
  </si>
  <si>
    <t>三亚恒大御府-一期-住宅-19_20号楼1单元-1803</t>
  </si>
  <si>
    <t>三亚恒大御府-一期-住宅-19_20号楼1单元-1804</t>
  </si>
  <si>
    <t>三亚恒大御府-一期-住宅-19_20号楼1单元-1901</t>
  </si>
  <si>
    <t>三亚恒大御府-一期-住宅-19_20号楼1单元-1902</t>
  </si>
  <si>
    <t>三亚恒大御府-一期-住宅-19_20号楼1单元-1903</t>
  </si>
  <si>
    <t>三亚恒大御府-一期-住宅-19_20号楼1单元-1904</t>
  </si>
  <si>
    <t>三亚恒大御府-一期-住宅-19_20号楼1单元-2001</t>
  </si>
  <si>
    <t>三亚恒大御府-一期-住宅-19_20号楼1单元-2002</t>
  </si>
  <si>
    <t>三亚恒大御府-一期-住宅-19_20号楼1单元-2003</t>
  </si>
  <si>
    <t>三亚恒大御府-一期-住宅-19_20号楼1单元-2004</t>
  </si>
  <si>
    <t>三亚恒大御府-一期-住宅-19_20号楼1单元-2101</t>
  </si>
  <si>
    <t>三亚恒大御府-一期-住宅-19_20号楼1单元-2102</t>
  </si>
  <si>
    <t>三亚恒大御府-一期-住宅-19_20号楼1单元-2103</t>
  </si>
  <si>
    <t>三亚恒大御府-一期-住宅-19_20号楼1单元-2104</t>
  </si>
  <si>
    <t>三亚恒大御府-一期-住宅-19_20号楼1单元-2201</t>
  </si>
  <si>
    <t>三亚恒大御府-一期-住宅-19_20号楼1单元-2202</t>
  </si>
  <si>
    <t>三亚恒大御府-一期-住宅-19_20号楼1单元-2203</t>
  </si>
  <si>
    <t>三亚恒大御府-一期-住宅-19_20号楼1单元-2204</t>
  </si>
  <si>
    <t>三亚恒大御府-一期-住宅-19_20号楼1单元-2301</t>
  </si>
  <si>
    <t>三亚恒大御府-一期-住宅-19_20号楼1单元-2302</t>
  </si>
  <si>
    <t>三亚恒大御府-一期-住宅-19_20号楼1单元-2303</t>
  </si>
  <si>
    <t>三亚恒大御府-一期-住宅-19_20号楼1单元-2304</t>
  </si>
  <si>
    <t>公寓-4号楼</t>
  </si>
  <si>
    <t>1单元</t>
  </si>
  <si>
    <t>三亚恒大御府-一期-公寓-4号楼-1单元-207</t>
  </si>
  <si>
    <t>三亚恒大御府-一期-公寓-4号楼-1单元-303</t>
  </si>
  <si>
    <t>三亚恒大御府-一期-公寓-4号楼-1单元-304</t>
  </si>
  <si>
    <t>三亚恒大御府-一期-公寓-4号楼-1单元-305</t>
  </si>
  <si>
    <t>三亚恒大御府-一期-公寓-4号楼-1单元-307</t>
  </si>
  <si>
    <t>三亚恒大御府-一期-公寓-4号楼-1单元-402</t>
  </si>
  <si>
    <t>三亚恒大御府-一期-公寓-4号楼-1单元-403</t>
  </si>
  <si>
    <t>三亚恒大御府-一期-公寓-4号楼-1单元-404</t>
  </si>
  <si>
    <t>三亚恒大御府-一期-公寓-4号楼-1单元-405</t>
  </si>
  <si>
    <t>三亚恒大御府-一期-公寓-4号楼-1单元-504</t>
  </si>
  <si>
    <t>三亚恒大御府-一期-公寓-4号楼-1单元-505</t>
  </si>
  <si>
    <t>三亚恒大御府-一期-公寓-4号楼-1单元-602</t>
  </si>
  <si>
    <t>三亚恒大御府-一期-公寓-4号楼-1单元-604</t>
  </si>
  <si>
    <t>三亚恒大御府-一期-公寓-4号楼-1单元-704</t>
  </si>
  <si>
    <t>三亚恒大御府-一期-公寓-4号楼-1单元-705</t>
  </si>
  <si>
    <t>三亚恒大御府-一期-公寓-4号楼-1单元-707</t>
  </si>
  <si>
    <t>三亚恒大御府-一期-公寓-4号楼-1单元-804</t>
  </si>
  <si>
    <t>三亚恒大御府-一期-公寓-4号楼-1单元-805</t>
  </si>
  <si>
    <t>三亚恒大御府-一期-公寓-4号楼-1单元-807</t>
  </si>
  <si>
    <t>三亚恒大御府-一期-公寓-4号楼-1单元-904</t>
  </si>
  <si>
    <t>三亚恒大御府-一期-公寓-4号楼-1单元-905</t>
  </si>
  <si>
    <t>三亚恒大御府-一期-公寓-4号楼-1单元-1004</t>
  </si>
  <si>
    <t>三亚恒大御府-一期-公寓-4号楼-1单元-1007</t>
  </si>
  <si>
    <t>三亚恒大御府-一期-公寓-4号楼-1单元-1104</t>
  </si>
  <si>
    <t>三亚恒大御府-一期-公寓-4号楼-1单元-1203</t>
  </si>
  <si>
    <t>三亚恒大御府-一期-公寓-4号楼-1单元-1204</t>
  </si>
  <si>
    <t>三亚恒大御府-一期-公寓-4号楼-1单元-1205</t>
  </si>
  <si>
    <t>三亚恒大御府-一期-公寓-4号楼-1单元-1302</t>
  </si>
  <si>
    <t>三亚恒大御府-一期-公寓-4号楼-1单元-1303</t>
  </si>
  <si>
    <t>三亚恒大御府-一期-公寓-4号楼-1单元-1304</t>
  </si>
  <si>
    <t>三亚恒大御府-一期-公寓-4号楼-1单元-1404</t>
  </si>
  <si>
    <t>三亚恒大御府-一期-公寓-4号楼-1单元-1501</t>
  </si>
  <si>
    <t>三亚恒大御府-一期-公寓-4号楼-1单元-1502</t>
  </si>
  <si>
    <t>三亚恒大御府-一期-公寓-4号楼-1单元-1504</t>
  </si>
  <si>
    <t>三亚恒大御府-一期-公寓-4号楼-1单元-1604</t>
  </si>
  <si>
    <t>三亚恒大御府-一期-公寓-4号楼-1单元-1704</t>
  </si>
  <si>
    <t>三亚恒大御府-一期-公寓-4号楼-1单元-1707</t>
  </si>
  <si>
    <t>三亚恒大御府-一期-公寓-4号楼-1单元-1801</t>
  </si>
  <si>
    <t>三亚恒大御府-一期-公寓-4号楼-1单元-1803</t>
  </si>
  <si>
    <t>三亚恒大御府-一期-公寓-4号楼-1单元-1804</t>
  </si>
  <si>
    <t>三亚恒大御府-一期-公寓-4号楼-1单元-1805</t>
  </si>
  <si>
    <t>三亚恒大御府-一期-公寓-4号楼-1单元-1901</t>
  </si>
  <si>
    <t>三亚恒大御府-一期-公寓-4号楼-1单元-1903</t>
  </si>
  <si>
    <t>三亚恒大御府-一期-公寓-4号楼-1单元-1904</t>
  </si>
  <si>
    <t>三亚恒大御府-一期-公寓-4号楼-1单元-1906</t>
  </si>
  <si>
    <t>三亚恒大御府-一期-公寓-4号楼-1单元-2002</t>
  </si>
  <si>
    <t>三亚恒大御府-一期-公寓-4号楼-1单元-2004</t>
  </si>
  <si>
    <t>三亚恒大御府-一期-公寓-4号楼-1单元-2005</t>
  </si>
  <si>
    <t>三亚恒大御府-一期-公寓-4号楼-1单元-2006</t>
  </si>
  <si>
    <t>三亚恒大御府-一期-公寓-4号楼-1单元-2007</t>
  </si>
  <si>
    <t>2单元</t>
  </si>
  <si>
    <t>三亚恒大御府-一期-公寓-4号楼-2单元-202</t>
  </si>
  <si>
    <t>三亚恒大御府-一期-公寓-4号楼-2单元-209</t>
  </si>
  <si>
    <t>三亚恒大御府-一期-公寓-4号楼-2单元-303</t>
  </si>
  <si>
    <t>三亚恒大御府-一期-公寓-4号楼-2单元-306</t>
  </si>
  <si>
    <t>三亚恒大御府-一期-公寓-4号楼-2单元-307</t>
  </si>
  <si>
    <t>三亚恒大御府-一期-公寓-4号楼-2单元-406</t>
  </si>
  <si>
    <t>三亚恒大御府-一期-公寓-4号楼-2单元-502</t>
  </si>
  <si>
    <t>三亚恒大御府-一期-公寓-4号楼-2单元-503</t>
  </si>
  <si>
    <t>三亚恒大御府-一期-公寓-4号楼-2单元-506</t>
  </si>
  <si>
    <t>三亚恒大御府-一期-公寓-4号楼-2单元-606</t>
  </si>
  <si>
    <t>三亚恒大御府-一期-公寓-4号楼-2单元-608</t>
  </si>
  <si>
    <t>三亚恒大御府-一期-公寓-4号楼-2单元-705</t>
  </si>
  <si>
    <t>三亚恒大御府-一期-公寓-4号楼-2单元-706</t>
  </si>
  <si>
    <t>三亚恒大御府-一期-公寓-4号楼-2单元-709</t>
  </si>
  <si>
    <t>三亚恒大御府-一期-公寓-4号楼-2单元-803</t>
  </si>
  <si>
    <t>三亚恒大御府-一期-公寓-4号楼-2单元-806</t>
  </si>
  <si>
    <t>三亚恒大御府-一期-公寓-4号楼-2单元-902</t>
  </si>
  <si>
    <t>三亚恒大御府-一期-公寓-4号楼-2单元-906</t>
  </si>
  <si>
    <t>三亚恒大御府-一期-公寓-4号楼-2单元-907</t>
  </si>
  <si>
    <t>三亚恒大御府-一期-公寓-4号楼-2单元-1006</t>
  </si>
  <si>
    <t>三亚恒大御府-一期-公寓-4号楼-2单元-1106</t>
  </si>
  <si>
    <t>三亚恒大御府-一期-公寓-4号楼-2单元-1208</t>
  </si>
  <si>
    <t>三亚恒大御府-一期-公寓-4号楼-2单元-1407</t>
  </si>
  <si>
    <t>三亚恒大御府-一期-公寓-4号楼-2单元-1603</t>
  </si>
  <si>
    <t>三亚恒大御府-一期-公寓-4号楼-2单元-1706</t>
  </si>
  <si>
    <t>三亚恒大御府-一期-公寓-4号楼-2单元-1802</t>
  </si>
  <si>
    <t>三亚恒大御府-一期-公寓-4号楼-2单元-1806</t>
  </si>
  <si>
    <t>三亚恒大御府-一期-公寓-4号楼-2单元-1807</t>
  </si>
  <si>
    <t>三亚恒大御府-一期-公寓-4号楼-2单元-1907</t>
  </si>
  <si>
    <t>三亚恒大御府-一期-公寓-4号楼-2单元-2002</t>
  </si>
  <si>
    <t>三亚恒大御府-一期-公寓-4号楼-2单元-2005</t>
  </si>
  <si>
    <t>三亚恒大御府-一期-公寓-4号楼-2单元-2006</t>
  </si>
  <si>
    <t>三亚恒大御府-一期-公寓-4号楼-2单元-2007</t>
  </si>
  <si>
    <t>3单元</t>
  </si>
  <si>
    <t>三亚恒大御府-一期-公寓-4号楼-3单元-202</t>
  </si>
  <si>
    <t>三亚恒大御府-一期-公寓-4号楼-3单元-206</t>
  </si>
  <si>
    <t>三亚恒大御府-一期-公寓-4号楼-3单元-207</t>
  </si>
  <si>
    <t>三亚恒大御府-一期-公寓-4号楼-3单元-210</t>
  </si>
  <si>
    <t>三亚恒大御府-一期-公寓-4号楼-3单元-302</t>
  </si>
  <si>
    <t>三亚恒大御府-一期-公寓-4号楼-3单元-309</t>
  </si>
  <si>
    <t>三亚恒大御府-一期-公寓-4号楼-3单元-310</t>
  </si>
  <si>
    <t>三亚恒大御府-一期-公寓-4号楼-3单元-402</t>
  </si>
  <si>
    <t>三亚恒大御府-一期-公寓-4号楼-3单元-403</t>
  </si>
  <si>
    <t>三亚恒大御府-一期-公寓-4号楼-3单元-410</t>
  </si>
  <si>
    <t>三亚恒大御府-一期-公寓-4号楼-3单元-510</t>
  </si>
  <si>
    <t>三亚恒大御府-一期-公寓-4号楼-3单元-603</t>
  </si>
  <si>
    <t>三亚恒大御府-一期-公寓-4号楼-3单元-703</t>
  </si>
  <si>
    <t>三亚恒大御府-一期-公寓-4号楼-3单元-707</t>
  </si>
  <si>
    <t>三亚恒大御府-一期-公寓-4号楼-3单元-708</t>
  </si>
  <si>
    <t>三亚恒大御府-一期-公寓-4号楼-3单元-710</t>
  </si>
  <si>
    <t>三亚恒大御府-一期-公寓-4号楼-3单元-804</t>
  </si>
  <si>
    <t>三亚恒大御府-一期-公寓-4号楼-3单元-810</t>
  </si>
  <si>
    <t>三亚恒大御府-一期-公寓-4号楼-3单元-910</t>
  </si>
  <si>
    <t>三亚恒大御府-一期-公寓-4号楼-3单元-1102</t>
  </si>
  <si>
    <t>三亚恒大御府-一期-公寓-4号楼-3单元-1103</t>
  </si>
  <si>
    <t>三亚恒大御府-一期-公寓-4号楼-3单元-1110</t>
  </si>
  <si>
    <t>三亚恒大御府-一期-公寓-4号楼-3单元-1203</t>
  </si>
  <si>
    <t>三亚恒大御府-一期-公寓-4号楼-3单元-1210</t>
  </si>
  <si>
    <t>三亚恒大御府-一期-公寓-4号楼-3单元-1310</t>
  </si>
  <si>
    <t>三亚恒大御府-一期-公寓-4号楼-3单元-1403</t>
  </si>
  <si>
    <t>三亚恒大御府-一期-公寓-4号楼-3单元-1410</t>
  </si>
  <si>
    <t>三亚恒大御府-一期-公寓-4号楼-3单元-1602</t>
  </si>
  <si>
    <t>三亚恒大御府-一期-公寓-4号楼-3单元-1604</t>
  </si>
  <si>
    <t>三亚恒大御府-一期-公寓-4号楼-3单元-1810</t>
  </si>
  <si>
    <t>三亚恒大御府-一期-公寓-4号楼-3单元-1903</t>
  </si>
  <si>
    <t>三亚恒大御府-一期-公寓-4号楼-3单元-1904</t>
  </si>
  <si>
    <t>三亚恒大御府-一期-公寓-4号楼-3单元-2003</t>
  </si>
  <si>
    <t>三亚恒大御府-一期-公寓-4号楼-3单元-2009</t>
  </si>
  <si>
    <t>三亚恒大御府-一期-公寓-4号楼-3单元-2010</t>
  </si>
  <si>
    <t>公寓-2号楼</t>
  </si>
  <si>
    <t>三亚恒大御府-一期-公寓-2号楼-1-207</t>
  </si>
  <si>
    <t>三亚恒大御府-一期-公寓-2号楼-1-208</t>
  </si>
  <si>
    <t>三亚恒大御府-一期-公寓-2号楼-1-209</t>
  </si>
  <si>
    <t>三亚恒大御府-一期-公寓-2号楼-1-210</t>
  </si>
  <si>
    <t>三亚恒大御府-一期-公寓-2号楼-1-211</t>
  </si>
  <si>
    <t>三亚恒大御府-一期-公寓-2号楼-1-301</t>
  </si>
  <si>
    <t>三亚恒大御府-一期-公寓-2号楼-1-302</t>
  </si>
  <si>
    <t>三亚恒大御府-一期-公寓-2号楼-1-303</t>
  </si>
  <si>
    <t>三亚恒大御府-一期-公寓-2号楼-1-304</t>
  </si>
  <si>
    <t>三亚恒大御府-一期-公寓-2号楼-1-305</t>
  </si>
  <si>
    <t>三亚恒大御府-一期-公寓-2号楼-1-306</t>
  </si>
  <si>
    <t>三亚恒大御府-一期-公寓-2号楼-1-307</t>
  </si>
  <si>
    <t>三亚恒大御府-一期-公寓-2号楼-1-308</t>
  </si>
  <si>
    <t>三亚恒大御府-一期-公寓-2号楼-1-309</t>
  </si>
  <si>
    <t>三亚恒大御府-一期-公寓-2号楼-1-310</t>
  </si>
  <si>
    <t>三亚恒大御府-一期-公寓-2号楼-1-311</t>
  </si>
  <si>
    <t>三亚恒大御府-一期-公寓-2号楼-1-402</t>
  </si>
  <si>
    <t>三亚恒大御府-一期-公寓-2号楼-1-403</t>
  </si>
  <si>
    <t>三亚恒大御府-一期-公寓-2号楼-1-404</t>
  </si>
  <si>
    <t>三亚恒大御府-一期-公寓-2号楼-1-405</t>
  </si>
  <si>
    <t>三亚恒大御府-一期-公寓-2号楼-1-406</t>
  </si>
  <si>
    <t>三亚恒大御府-一期-公寓-2号楼-1-407</t>
  </si>
  <si>
    <t>三亚恒大御府-一期-公寓-2号楼-1-408</t>
  </si>
  <si>
    <t>三亚恒大御府-一期-公寓-2号楼-1-409</t>
  </si>
  <si>
    <t>三亚恒大御府-一期-公寓-2号楼-1-410</t>
  </si>
  <si>
    <t>三亚恒大御府-一期-公寓-2号楼-1-502</t>
  </si>
  <si>
    <t>三亚恒大御府-一期-公寓-2号楼-1-503</t>
  </si>
  <si>
    <t>三亚恒大御府-一期-公寓-2号楼-1-504</t>
  </si>
  <si>
    <t>三亚恒大御府-一期-公寓-2号楼-1-505</t>
  </si>
  <si>
    <t>三亚恒大御府-一期-公寓-2号楼-1-506</t>
  </si>
  <si>
    <t>三亚恒大御府-一期-公寓-2号楼-1-509</t>
  </si>
  <si>
    <t>三亚恒大御府-一期-公寓-2号楼-1-510</t>
  </si>
  <si>
    <t>三亚恒大御府-一期-公寓-2号楼-1-511</t>
  </si>
  <si>
    <t>三亚恒大御府-一期-公寓-2号楼-1-602</t>
  </si>
  <si>
    <t>三亚恒大御府-一期-公寓-2号楼-1-603</t>
  </si>
  <si>
    <t>三亚恒大御府-一期-公寓-2号楼-1-604</t>
  </si>
  <si>
    <t>三亚恒大御府-一期-公寓-2号楼-1-605</t>
  </si>
  <si>
    <t>三亚恒大御府-一期-公寓-2号楼-1-606</t>
  </si>
  <si>
    <t>三亚恒大御府-一期-公寓-2号楼-1-609</t>
  </si>
  <si>
    <t>三亚恒大御府-一期-公寓-2号楼-1-610</t>
  </si>
  <si>
    <t>三亚恒大御府-一期-公寓-2号楼-1-701</t>
  </si>
  <si>
    <t>三亚恒大御府-一期-公寓-2号楼-1-702</t>
  </si>
  <si>
    <t>三亚恒大御府-一期-公寓-2号楼-1-703</t>
  </si>
  <si>
    <t>三亚恒大御府-一期-公寓-2号楼-1-704</t>
  </si>
  <si>
    <t>三亚恒大御府-一期-公寓-2号楼-1-705</t>
  </si>
  <si>
    <t>三亚恒大御府-一期-公寓-2号楼-1-709</t>
  </si>
  <si>
    <t>三亚恒大御府-一期-公寓-2号楼-1-710</t>
  </si>
  <si>
    <t>三亚恒大御府-一期-公寓-2号楼-1-802</t>
  </si>
  <si>
    <t>三亚恒大御府-一期-公寓-2号楼-1-803</t>
  </si>
  <si>
    <t>三亚恒大御府-一期-公寓-2号楼-1-804</t>
  </si>
  <si>
    <t>三亚恒大御府-一期-公寓-2号楼-1-805</t>
  </si>
  <si>
    <t>三亚恒大御府-一期-公寓-2号楼-1-806</t>
  </si>
  <si>
    <t>三亚恒大御府-一期-公寓-2号楼-1-811</t>
  </si>
  <si>
    <t>三亚恒大御府-一期-公寓-2号楼-1-901</t>
  </si>
  <si>
    <t>三亚恒大御府-一期-公寓-2号楼-1-904</t>
  </si>
  <si>
    <t>三亚恒大御府-一期-公寓-2号楼-1-905</t>
  </si>
  <si>
    <t>三亚恒大御府-一期-公寓-2号楼-1-906</t>
  </si>
  <si>
    <t>三亚恒大御府-一期-公寓-2号楼-1-909</t>
  </si>
  <si>
    <t>三亚恒大御府-一期-公寓-2号楼-1-910</t>
  </si>
  <si>
    <t>三亚恒大御府-一期-公寓-2号楼-1-911</t>
  </si>
  <si>
    <t>三亚恒大御府-一期-公寓-2号楼-1-1003</t>
  </si>
  <si>
    <t>三亚恒大御府-一期-公寓-2号楼-1-1005</t>
  </si>
  <si>
    <t>三亚恒大御府-一期-公寓-2号楼-1-1006</t>
  </si>
  <si>
    <t>三亚恒大御府-一期-公寓-2号楼-1-1008</t>
  </si>
  <si>
    <t>三亚恒大御府-一期-公寓-2号楼-1-1010</t>
  </si>
  <si>
    <t>三亚恒大御府-一期-公寓-2号楼-1-1102</t>
  </si>
  <si>
    <t>三亚恒大御府-一期-公寓-2号楼-1-1104</t>
  </si>
  <si>
    <t>三亚恒大御府-一期-公寓-2号楼-1-1110</t>
  </si>
  <si>
    <t>三亚恒大御府-一期-公寓-2号楼-1-1202</t>
  </si>
  <si>
    <t>三亚恒大御府-一期-公寓-2号楼-1-1203</t>
  </si>
  <si>
    <t>三亚恒大御府-一期-公寓-2号楼-1-1204</t>
  </si>
  <si>
    <t>三亚恒大御府-一期-公寓-2号楼-1-1205</t>
  </si>
  <si>
    <t>三亚恒大御府-一期-公寓-2号楼-1-1206</t>
  </si>
  <si>
    <t>三亚恒大御府-一期-公寓-2号楼-1-1211</t>
  </si>
  <si>
    <t>三亚恒大御府-一期-公寓-2号楼-1-1301</t>
  </si>
  <si>
    <t>三亚恒大御府-一期-公寓-2号楼-1-1302</t>
  </si>
  <si>
    <t>三亚恒大御府-一期-公寓-2号楼-1-1303</t>
  </si>
  <si>
    <t>三亚恒大御府-一期-公寓-2号楼-1-1304</t>
  </si>
  <si>
    <t>三亚恒大御府-一期-公寓-2号楼-1-1305</t>
  </si>
  <si>
    <t>三亚恒大御府-一期-公寓-2号楼-1-1307</t>
  </si>
  <si>
    <t>三亚恒大御府-一期-公寓-2号楼-1-1308</t>
  </si>
  <si>
    <t>三亚恒大御府-一期-公寓-2号楼-1-1309</t>
  </si>
  <si>
    <t>三亚恒大御府-一期-公寓-2号楼-1-1310</t>
  </si>
  <si>
    <t>三亚恒大御府-一期-公寓-2号楼-1-1311</t>
  </si>
  <si>
    <t>三亚恒大御府-一期-公寓-2号楼-1-1402</t>
  </si>
  <si>
    <t>三亚恒大御府-一期-公寓-2号楼-1-1403</t>
  </si>
  <si>
    <t>三亚恒大御府-一期-公寓-2号楼-1-1404</t>
  </si>
  <si>
    <t>三亚恒大御府-一期-公寓-2号楼-1-1405</t>
  </si>
  <si>
    <t>三亚恒大御府-一期-公寓-2号楼-1-1407</t>
  </si>
  <si>
    <t>三亚恒大御府-一期-公寓-2号楼-1-1408</t>
  </si>
  <si>
    <t>三亚恒大御府-一期-公寓-2号楼-1-1409</t>
  </si>
  <si>
    <t>三亚恒大御府-一期-公寓-2号楼-1-1410</t>
  </si>
  <si>
    <t>三亚恒大御府-一期-公寓-2号楼-1-1411</t>
  </si>
  <si>
    <t>三亚恒大御府-一期-公寓-2号楼-1-1505</t>
  </si>
  <si>
    <t>三亚恒大御府-一期-公寓-2号楼-1-1507</t>
  </si>
  <si>
    <t>三亚恒大御府-一期-公寓-2号楼-1-1508</t>
  </si>
  <si>
    <t>三亚恒大御府-一期-公寓-2号楼-1-1509</t>
  </si>
  <si>
    <t>三亚恒大御府-一期-公寓-2号楼-1-1510</t>
  </si>
  <si>
    <t>三亚恒大御府-一期-公寓-2号楼-1-1601</t>
  </si>
  <si>
    <t>三亚恒大御府-一期-公寓-2号楼-1-1602</t>
  </si>
  <si>
    <t>三亚恒大御府-一期-公寓-2号楼-1-1604</t>
  </si>
  <si>
    <t>三亚恒大御府-一期-公寓-2号楼-1-1605</t>
  </si>
  <si>
    <t>三亚恒大御府-一期-公寓-2号楼-1-1607</t>
  </si>
  <si>
    <t>三亚恒大御府-一期-公寓-2号楼-1-1610</t>
  </si>
  <si>
    <t>三亚恒大御府-一期-公寓-2号楼-1-1611</t>
  </si>
  <si>
    <t>三亚恒大御府-一期-公寓-2号楼-1-1702</t>
  </si>
  <si>
    <t>三亚恒大御府-一期-公寓-2号楼-1-1703</t>
  </si>
  <si>
    <t>三亚恒大御府-一期-公寓-2号楼-1-1704</t>
  </si>
  <si>
    <t>三亚恒大御府-一期-公寓-2号楼-1-1707</t>
  </si>
  <si>
    <t>三亚恒大御府-一期-公寓-2号楼-1-1708</t>
  </si>
  <si>
    <t>三亚恒大御府-一期-公寓-2号楼-1-1709</t>
  </si>
  <si>
    <t>三亚恒大御府-一期-公寓-2号楼-1-1710</t>
  </si>
  <si>
    <t>三亚恒大御府-一期-公寓-2号楼-1-1801</t>
  </si>
  <si>
    <t>三亚恒大御府-一期-公寓-2号楼-1-1802</t>
  </si>
  <si>
    <t>三亚恒大御府-一期-公寓-2号楼-1-1804</t>
  </si>
  <si>
    <t>三亚恒大御府-一期-公寓-2号楼-1-1805</t>
  </si>
  <si>
    <t>三亚恒大御府-一期-公寓-2号楼-1-1806</t>
  </si>
  <si>
    <t>三亚恒大御府-一期-公寓-2号楼-1-1807</t>
  </si>
  <si>
    <t>三亚恒大御府-一期-公寓-2号楼-1-1810</t>
  </si>
  <si>
    <t>三亚恒大御府-一期-公寓-2号楼-1-1902</t>
  </si>
  <si>
    <t>三亚恒大御府-一期-公寓-2号楼-1-1905</t>
  </si>
  <si>
    <t>三亚恒大御府-一期-公寓-2号楼-1-1906</t>
  </si>
  <si>
    <t>三亚恒大御府-一期-公寓-2号楼-1-1907</t>
  </si>
  <si>
    <t>三亚恒大御府-一期-公寓-2号楼-1-1908</t>
  </si>
  <si>
    <t>三亚恒大御府-一期-公寓-2号楼-1-1909</t>
  </si>
  <si>
    <t>三亚恒大御府-一期-公寓-2号楼-1-1910</t>
  </si>
  <si>
    <t>三亚恒大御府-一期-公寓-2号楼-1-2002</t>
  </si>
  <si>
    <t>三亚恒大御府-一期-公寓-2号楼-1-2003</t>
  </si>
  <si>
    <t>三亚恒大御府-一期-公寓-2号楼-1-2004</t>
  </si>
  <si>
    <t>三亚恒大御府-一期-公寓-2号楼-1-2005</t>
  </si>
  <si>
    <t>三亚恒大御府-一期-公寓-2号楼-1-2006</t>
  </si>
  <si>
    <t>三亚恒大御府-一期-公寓-2号楼-1-2007</t>
  </si>
  <si>
    <t>三亚恒大御府-一期-公寓-2号楼-1-2008</t>
  </si>
  <si>
    <t>三亚恒大御府-一期-公寓-2号楼-1-2009</t>
  </si>
  <si>
    <t>三亚恒大御府-一期-公寓-2号楼-1-2010</t>
  </si>
  <si>
    <t>三亚恒大御府-一期-公寓-2号楼-2-207</t>
  </si>
  <si>
    <t>三亚恒大御府-一期-公寓-2号楼-2-208</t>
  </si>
  <si>
    <t>三亚恒大御府-一期-公寓-2号楼-2-209</t>
  </si>
  <si>
    <t>三亚恒大御府-一期-公寓-2号楼-2-210</t>
  </si>
  <si>
    <t>三亚恒大御府-一期-公寓-2号楼-2-211</t>
  </si>
  <si>
    <t>三亚恒大御府-一期-公寓-2号楼-2-301</t>
  </si>
  <si>
    <t>三亚恒大御府-一期-公寓-2号楼-2-302</t>
  </si>
  <si>
    <t>三亚恒大御府-一期-公寓-2号楼-2-303</t>
  </si>
  <si>
    <t>三亚恒大御府-一期-公寓-2号楼-2-304</t>
  </si>
  <si>
    <t>三亚恒大御府-一期-公寓-2号楼-2-305</t>
  </si>
  <si>
    <t>三亚恒大御府-一期-公寓-2号楼-2-306</t>
  </si>
  <si>
    <t>三亚恒大御府-一期-公寓-2号楼-2-307</t>
  </si>
  <si>
    <t>三亚恒大御府-一期-公寓-2号楼-2-308</t>
  </si>
  <si>
    <t>三亚恒大御府-一期-公寓-2号楼-2-310</t>
  </si>
  <si>
    <t>三亚恒大御府-一期-公寓-2号楼-2-311</t>
  </si>
  <si>
    <t>三亚恒大御府-一期-公寓-2号楼-2-402</t>
  </si>
  <si>
    <t>三亚恒大御府-一期-公寓-2号楼-2-403</t>
  </si>
  <si>
    <t>三亚恒大御府-一期-公寓-2号楼-2-404</t>
  </si>
  <si>
    <t>三亚恒大御府-一期-公寓-2号楼-2-405</t>
  </si>
  <si>
    <t>三亚恒大御府-一期-公寓-2号楼-2-406</t>
  </si>
  <si>
    <t>三亚恒大御府-一期-公寓-2号楼-2-407</t>
  </si>
  <si>
    <t>三亚恒大御府-一期-公寓-2号楼-2-408</t>
  </si>
  <si>
    <t>三亚恒大御府-一期-公寓-2号楼-2-502</t>
  </si>
  <si>
    <t>三亚恒大御府-一期-公寓-2号楼-2-503</t>
  </si>
  <si>
    <t>三亚恒大御府-一期-公寓-2号楼-2-504</t>
  </si>
  <si>
    <t>三亚恒大御府-一期-公寓-2号楼-2-505</t>
  </si>
  <si>
    <t>三亚恒大御府-一期-公寓-2号楼-2-506</t>
  </si>
  <si>
    <t>三亚恒大御府-一期-公寓-2号楼-2-507</t>
  </si>
  <si>
    <t>三亚恒大御府-一期-公寓-2号楼-2-508</t>
  </si>
  <si>
    <t>三亚恒大御府-一期-公寓-2号楼-2-509</t>
  </si>
  <si>
    <t>三亚恒大御府-一期-公寓-2号楼-2-511</t>
  </si>
  <si>
    <t>三亚恒大御府-一期-公寓-2号楼-2-602</t>
  </si>
  <si>
    <t>三亚恒大御府-一期-公寓-2号楼-2-603</t>
  </si>
  <si>
    <t>三亚恒大御府-一期-公寓-2号楼-2-604</t>
  </si>
  <si>
    <t>三亚恒大御府-一期-公寓-2号楼-2-605</t>
  </si>
  <si>
    <t>三亚恒大御府-一期-公寓-2号楼-2-607</t>
  </si>
  <si>
    <t>三亚恒大御府-一期-公寓-2号楼-2-608</t>
  </si>
  <si>
    <t>三亚恒大御府-一期-公寓-2号楼-2-609</t>
  </si>
  <si>
    <t>三亚恒大御府-一期-公寓-2号楼-2-610</t>
  </si>
  <si>
    <t>三亚恒大御府-一期-公寓-2号楼-2-611</t>
  </si>
  <si>
    <t>三亚恒大御府-一期-公寓-2号楼-2-702</t>
  </si>
  <si>
    <t>三亚恒大御府-一期-公寓-2号楼-2-703</t>
  </si>
  <si>
    <t>三亚恒大御府-一期-公寓-2号楼-2-704</t>
  </si>
  <si>
    <t>三亚恒大御府-一期-公寓-2号楼-2-705</t>
  </si>
  <si>
    <t>三亚恒大御府-一期-公寓-2号楼-2-706</t>
  </si>
  <si>
    <t>三亚恒大御府-一期-公寓-2号楼-2-707</t>
  </si>
  <si>
    <t>三亚恒大御府-一期-公寓-2号楼-2-708</t>
  </si>
  <si>
    <t>三亚恒大御府-一期-公寓-2号楼-2-709</t>
  </si>
  <si>
    <t>三亚恒大御府-一期-公寓-2号楼-2-710</t>
  </si>
  <si>
    <t>三亚恒大御府-一期-公寓-2号楼-2-801</t>
  </si>
  <si>
    <t>三亚恒大御府-一期-公寓-2号楼-2-802</t>
  </si>
  <si>
    <t>三亚恒大御府-一期-公寓-2号楼-2-803</t>
  </si>
  <si>
    <t>三亚恒大御府-一期-公寓-2号楼-2-804</t>
  </si>
  <si>
    <t>三亚恒大御府-一期-公寓-2号楼-2-805</t>
  </si>
  <si>
    <t>三亚恒大御府-一期-公寓-2号楼-2-807</t>
  </si>
  <si>
    <t>三亚恒大御府-一期-公寓-2号楼-2-809</t>
  </si>
  <si>
    <t>三亚恒大御府-一期-公寓-2号楼-2-810</t>
  </si>
  <si>
    <t>三亚恒大御府-一期-公寓-2号楼-2-902</t>
  </si>
  <si>
    <t>三亚恒大御府-一期-公寓-2号楼-2-903</t>
  </si>
  <si>
    <t>三亚恒大御府-一期-公寓-2号楼-2-904</t>
  </si>
  <si>
    <t>三亚恒大御府-一期-公寓-2号楼-2-905</t>
  </si>
  <si>
    <t>三亚恒大御府-一期-公寓-2号楼-2-906</t>
  </si>
  <si>
    <t>三亚恒大御府-一期-公寓-2号楼-2-907</t>
  </si>
  <si>
    <t>三亚恒大御府-一期-公寓-2号楼-2-908</t>
  </si>
  <si>
    <t>三亚恒大御府-一期-公寓-2号楼-2-1002</t>
  </si>
  <si>
    <t>三亚恒大御府-一期-公寓-2号楼-2-1003</t>
  </si>
  <si>
    <t>三亚恒大御府-一期-公寓-2号楼-2-1004</t>
  </si>
  <si>
    <t>三亚恒大御府-一期-公寓-2号楼-2-1005</t>
  </si>
  <si>
    <t>三亚恒大御府-一期-公寓-2号楼-2-1007</t>
  </si>
  <si>
    <t>三亚恒大御府-一期-公寓-2号楼-2-1008</t>
  </si>
  <si>
    <t>三亚恒大御府-一期-公寓-2号楼-2-1009</t>
  </si>
  <si>
    <t>三亚恒大御府-一期-公寓-2号楼-2-1010</t>
  </si>
  <si>
    <t>三亚恒大御府-一期-公寓-2号楼-2-1102</t>
  </si>
  <si>
    <t>三亚恒大御府-一期-公寓-2号楼-2-1103</t>
  </si>
  <si>
    <t>三亚恒大御府-一期-公寓-2号楼-2-1104</t>
  </si>
  <si>
    <t>三亚恒大御府-一期-公寓-2号楼-2-1105</t>
  </si>
  <si>
    <t>三亚恒大御府-一期-公寓-2号楼-2-1107</t>
  </si>
  <si>
    <t>三亚恒大御府-一期-公寓-2号楼-2-1109</t>
  </si>
  <si>
    <t>三亚恒大御府-一期-公寓-2号楼-2-1110</t>
  </si>
  <si>
    <t>三亚恒大御府-一期-公寓-2号楼-2-1201</t>
  </si>
  <si>
    <t>三亚恒大御府-一期-公寓-2号楼-2-1202</t>
  </si>
  <si>
    <t>三亚恒大御府-一期-公寓-2号楼-2-1203</t>
  </si>
  <si>
    <t>三亚恒大御府-一期-公寓-2号楼-2-1204</t>
  </si>
  <si>
    <t>三亚恒大御府-一期-公寓-2号楼-2-1205</t>
  </si>
  <si>
    <t>三亚恒大御府-一期-公寓-2号楼-2-1206</t>
  </si>
  <si>
    <t>三亚恒大御府-一期-公寓-2号楼-2-1207</t>
  </si>
  <si>
    <t>三亚恒大御府-一期-公寓-2号楼-2-1208</t>
  </si>
  <si>
    <t>三亚恒大御府-一期-公寓-2号楼-2-1209</t>
  </si>
  <si>
    <t>三亚恒大御府-一期-公寓-2号楼-2-1210</t>
  </si>
  <si>
    <t>三亚恒大御府-一期-公寓-2号楼-2-1302</t>
  </si>
  <si>
    <t>三亚恒大御府-一期-公寓-2号楼-2-1303</t>
  </si>
  <si>
    <t>三亚恒大御府-一期-公寓-2号楼-2-1304</t>
  </si>
  <si>
    <t>三亚恒大御府-一期-公寓-2号楼-2-1305</t>
  </si>
  <si>
    <t>三亚恒大御府-一期-公寓-2号楼-2-1306</t>
  </si>
  <si>
    <t>三亚恒大御府-一期-公寓-2号楼-2-1307</t>
  </si>
  <si>
    <t>三亚恒大御府-一期-公寓-2号楼-2-1309</t>
  </si>
  <si>
    <t>三亚恒大御府-一期-公寓-2号楼-2-1310</t>
  </si>
  <si>
    <t>三亚恒大御府-一期-公寓-2号楼-2-1401</t>
  </si>
  <si>
    <t>三亚恒大御府-一期-公寓-2号楼-2-1402</t>
  </si>
  <si>
    <t>三亚恒大御府-一期-公寓-2号楼-2-1403</t>
  </si>
  <si>
    <t>三亚恒大御府-一期-公寓-2号楼-2-1404</t>
  </si>
  <si>
    <t>三亚恒大御府-一期-公寓-2号楼-2-1405</t>
  </si>
  <si>
    <t>三亚恒大御府-一期-公寓-2号楼-2-1407</t>
  </si>
  <si>
    <t>三亚恒大御府-一期-公寓-2号楼-2-1408</t>
  </si>
  <si>
    <t>三亚恒大御府-一期-公寓-2号楼-2-1410</t>
  </si>
  <si>
    <t>三亚恒大御府-一期-公寓-2号楼-2-1411</t>
  </si>
  <si>
    <t>三亚恒大御府-一期-公寓-2号楼-2-1502</t>
  </si>
  <si>
    <t>三亚恒大御府-一期-公寓-2号楼-2-1503</t>
  </si>
  <si>
    <t>三亚恒大御府-一期-公寓-2号楼-2-1504</t>
  </si>
  <si>
    <t>三亚恒大御府-一期-公寓-2号楼-2-1505</t>
  </si>
  <si>
    <t>三亚恒大御府-一期-公寓-2号楼-2-1507</t>
  </si>
  <si>
    <t>三亚恒大御府-一期-公寓-2号楼-2-1508</t>
  </si>
  <si>
    <t>三亚恒大御府-一期-公寓-2号楼-2-1510</t>
  </si>
  <si>
    <t>三亚恒大御府-一期-公寓-2号楼-2-1602</t>
  </si>
  <si>
    <t>三亚恒大御府-一期-公寓-2号楼-2-1603</t>
  </si>
  <si>
    <t>三亚恒大御府-一期-公寓-2号楼-2-1604</t>
  </si>
  <si>
    <t>三亚恒大御府-一期-公寓-2号楼-2-1605</t>
  </si>
  <si>
    <t>三亚恒大御府-一期-公寓-2号楼-2-1607</t>
  </si>
  <si>
    <t>三亚恒大御府-一期-公寓-2号楼-2-1608</t>
  </si>
  <si>
    <t>三亚恒大御府-一期-公寓-2号楼-2-1610</t>
  </si>
  <si>
    <t>三亚恒大御府-一期-公寓-2号楼-2-1701</t>
  </si>
  <si>
    <t>三亚恒大御府-一期-公寓-2号楼-2-1702</t>
  </si>
  <si>
    <t>三亚恒大御府-一期-公寓-2号楼-2-1703</t>
  </si>
  <si>
    <t>三亚恒大御府-一期-公寓-2号楼-2-1704</t>
  </si>
  <si>
    <t>三亚恒大御府-一期-公寓-2号楼-2-1705</t>
  </si>
  <si>
    <t>三亚恒大御府-一期-公寓-2号楼-2-1707</t>
  </si>
  <si>
    <t>三亚恒大御府-一期-公寓-2号楼-2-1708</t>
  </si>
  <si>
    <t>三亚恒大御府-一期-公寓-2号楼-2-1709</t>
  </si>
  <si>
    <t>三亚恒大御府-一期-公寓-2号楼-2-1802</t>
  </si>
  <si>
    <t>三亚恒大御府-一期-公寓-2号楼-2-1803</t>
  </si>
  <si>
    <t>三亚恒大御府-一期-公寓-2号楼-2-1804</t>
  </si>
  <si>
    <t>三亚恒大御府-一期-公寓-2号楼-2-1805</t>
  </si>
  <si>
    <t>三亚恒大御府-一期-公寓-2号楼-2-1807</t>
  </si>
  <si>
    <t>三亚恒大御府-一期-公寓-2号楼-2-1808</t>
  </si>
  <si>
    <t>三亚恒大御府-一期-公寓-2号楼-2-1809</t>
  </si>
  <si>
    <t>三亚恒大御府-一期-公寓-2号楼-2-1905</t>
  </si>
  <si>
    <t>三亚恒大御府-一期-公寓-2号楼-2-1906</t>
  </si>
  <si>
    <t>三亚恒大御府-一期-公寓-2号楼-2-1907</t>
  </si>
  <si>
    <t>三亚恒大御府-一期-公寓-2号楼-2-1908</t>
  </si>
  <si>
    <t>三亚恒大御府-一期-公寓-2号楼-2-1909</t>
  </si>
  <si>
    <t>三亚恒大御府-一期-公寓-2号楼-2-1910</t>
  </si>
  <si>
    <t>三亚恒大御府-一期-公寓-2号楼-2-2002</t>
  </si>
  <si>
    <t>三亚恒大御府-一期-公寓-2号楼-2-2003</t>
  </si>
  <si>
    <t>三亚恒大御府-一期-公寓-2号楼-2-2004</t>
  </si>
  <si>
    <t>三亚恒大御府-一期-公寓-2号楼-2-2005</t>
  </si>
  <si>
    <t>三亚恒大御府-一期-公寓-2号楼-2-2007</t>
  </si>
  <si>
    <t>三亚恒大御府-一期-公寓-2号楼-2-2008</t>
  </si>
  <si>
    <t>三亚恒大御府-一期-公寓-2号楼-2-2009</t>
  </si>
  <si>
    <t>三亚恒大御府-一期-公寓-2号楼-2-2011</t>
  </si>
  <si>
    <t>公寓-3号楼</t>
  </si>
  <si>
    <t>三亚恒大御府-一期-公寓-3号楼-109</t>
  </si>
  <si>
    <t>三亚恒大御府-一期-公寓-3号楼-202</t>
  </si>
  <si>
    <t>三亚恒大御府-一期-公寓-3号楼-218</t>
  </si>
  <si>
    <t>三亚恒大御府-一期-公寓-3号楼-901</t>
  </si>
  <si>
    <t>三亚恒大御府-一期-公寓-3号楼-1013</t>
  </si>
  <si>
    <t>三亚恒大御府-一期-公寓-3号楼-1118</t>
  </si>
  <si>
    <t>写字楼-1号楼</t>
  </si>
  <si>
    <t>3A</t>
  </si>
  <si>
    <t>三亚恒大御府-一期-写字楼-1号楼-3A</t>
  </si>
  <si>
    <t>3B</t>
  </si>
  <si>
    <t>三亚恒大御府-一期-写字楼-1号楼-3B</t>
  </si>
  <si>
    <t>3C</t>
  </si>
  <si>
    <t>三亚恒大御府-一期-写字楼-1号楼-3C</t>
  </si>
  <si>
    <t>3D</t>
  </si>
  <si>
    <t>三亚恒大御府-一期-写字楼-1号楼-3D</t>
  </si>
  <si>
    <t>3E</t>
  </si>
  <si>
    <t>三亚恒大御府-一期-写字楼-1号楼-3E</t>
  </si>
  <si>
    <t>3F</t>
  </si>
  <si>
    <t>三亚恒大御府-一期-写字楼-1号楼-3F</t>
  </si>
  <si>
    <t>3G</t>
  </si>
  <si>
    <t>三亚恒大御府-一期-写字楼-1号楼-3G</t>
  </si>
  <si>
    <t>3H</t>
  </si>
  <si>
    <t>三亚恒大御府-一期-写字楼-1号楼-3H</t>
  </si>
  <si>
    <t>4A</t>
  </si>
  <si>
    <t>三亚恒大御府-一期-写字楼-1号楼-4A</t>
  </si>
  <si>
    <t>4B</t>
  </si>
  <si>
    <t>三亚恒大御府-一期-写字楼-1号楼-4B</t>
  </si>
  <si>
    <t>4C</t>
  </si>
  <si>
    <t>三亚恒大御府-一期-写字楼-1号楼-4C</t>
  </si>
  <si>
    <t>4D</t>
  </si>
  <si>
    <t>三亚恒大御府-一期-写字楼-1号楼-4D</t>
  </si>
  <si>
    <t>4E</t>
  </si>
  <si>
    <t>三亚恒大御府-一期-写字楼-1号楼-4E</t>
  </si>
  <si>
    <t>4F</t>
  </si>
  <si>
    <t>三亚恒大御府-一期-写字楼-1号楼-4F</t>
  </si>
  <si>
    <t>4G</t>
  </si>
  <si>
    <t>三亚恒大御府-一期-写字楼-1号楼-4G</t>
  </si>
  <si>
    <t>4H</t>
  </si>
  <si>
    <t>三亚恒大御府-一期-写字楼-1号楼-4H</t>
  </si>
  <si>
    <t>5A</t>
  </si>
  <si>
    <t>三亚恒大御府-一期-写字楼-1号楼-5A</t>
  </si>
  <si>
    <t>5B</t>
  </si>
  <si>
    <t>三亚恒大御府-一期-写字楼-1号楼-5B</t>
  </si>
  <si>
    <t>5C</t>
  </si>
  <si>
    <t>三亚恒大御府-一期-写字楼-1号楼-5C</t>
  </si>
  <si>
    <t>5D</t>
  </si>
  <si>
    <t>三亚恒大御府-一期-写字楼-1号楼-5D</t>
  </si>
  <si>
    <t>5E</t>
  </si>
  <si>
    <t>三亚恒大御府-一期-写字楼-1号楼-5E</t>
  </si>
  <si>
    <t>5F</t>
  </si>
  <si>
    <t>三亚恒大御府-一期-写字楼-1号楼-5F</t>
  </si>
  <si>
    <t>5G</t>
  </si>
  <si>
    <t>三亚恒大御府-一期-写字楼-1号楼-5G</t>
  </si>
  <si>
    <t>5H</t>
  </si>
  <si>
    <t>三亚恒大御府-一期-写字楼-1号楼-5H</t>
  </si>
  <si>
    <t>6A</t>
  </si>
  <si>
    <t>三亚恒大御府-一期-写字楼-1号楼-6A</t>
  </si>
  <si>
    <t>6B</t>
  </si>
  <si>
    <t>三亚恒大御府-一期-写字楼-1号楼-6B</t>
  </si>
  <si>
    <t>6C</t>
  </si>
  <si>
    <t>三亚恒大御府-一期-写字楼-1号楼-6C</t>
  </si>
  <si>
    <t>6D</t>
  </si>
  <si>
    <t>三亚恒大御府-一期-写字楼-1号楼-6D</t>
  </si>
  <si>
    <t>6E</t>
  </si>
  <si>
    <t>三亚恒大御府-一期-写字楼-1号楼-6E</t>
  </si>
  <si>
    <t>6F</t>
  </si>
  <si>
    <t>三亚恒大御府-一期-写字楼-1号楼-6F</t>
  </si>
  <si>
    <t>6G</t>
  </si>
  <si>
    <t>三亚恒大御府-一期-写字楼-1号楼-6G</t>
  </si>
  <si>
    <t>6H</t>
  </si>
  <si>
    <t>三亚恒大御府-一期-写字楼-1号楼-6H</t>
  </si>
  <si>
    <t>7A</t>
  </si>
  <si>
    <t>三亚恒大御府-一期-写字楼-1号楼-7A</t>
  </si>
  <si>
    <t>7B</t>
  </si>
  <si>
    <t>三亚恒大御府-一期-写字楼-1号楼-7B</t>
  </si>
  <si>
    <t>7C</t>
  </si>
  <si>
    <t>三亚恒大御府-一期-写字楼-1号楼-7C</t>
  </si>
  <si>
    <t>7D</t>
  </si>
  <si>
    <t>三亚恒大御府-一期-写字楼-1号楼-7D</t>
  </si>
  <si>
    <t>7E</t>
  </si>
  <si>
    <t>三亚恒大御府-一期-写字楼-1号楼-7E</t>
  </si>
  <si>
    <t>7F</t>
  </si>
  <si>
    <t>三亚恒大御府-一期-写字楼-1号楼-7F</t>
  </si>
  <si>
    <t>7G</t>
  </si>
  <si>
    <t>三亚恒大御府-一期-写字楼-1号楼-7G</t>
  </si>
  <si>
    <t>7H</t>
  </si>
  <si>
    <t>三亚恒大御府-一期-写字楼-1号楼-7H</t>
  </si>
  <si>
    <t>8A</t>
  </si>
  <si>
    <t>三亚恒大御府-一期-写字楼-1号楼-8A</t>
  </si>
  <si>
    <t>8B</t>
  </si>
  <si>
    <t>三亚恒大御府-一期-写字楼-1号楼-8B</t>
  </si>
  <si>
    <t>8C</t>
  </si>
  <si>
    <t>三亚恒大御府-一期-写字楼-1号楼-8C</t>
  </si>
  <si>
    <t>8D</t>
  </si>
  <si>
    <t>三亚恒大御府-一期-写字楼-1号楼-8D</t>
  </si>
  <si>
    <t>8E</t>
  </si>
  <si>
    <t>三亚恒大御府-一期-写字楼-1号楼-8E</t>
  </si>
  <si>
    <t>8F</t>
  </si>
  <si>
    <t>三亚恒大御府-一期-写字楼-1号楼-8F</t>
  </si>
  <si>
    <t>8G</t>
  </si>
  <si>
    <t>三亚恒大御府-一期-写字楼-1号楼-8G</t>
  </si>
  <si>
    <t>8H</t>
  </si>
  <si>
    <t>三亚恒大御府-一期-写字楼-1号楼-8H</t>
  </si>
  <si>
    <t>9A</t>
  </si>
  <si>
    <t>三亚恒大御府-一期-写字楼-1号楼-9A</t>
  </si>
  <si>
    <t>9B</t>
  </si>
  <si>
    <t>三亚恒大御府-一期-写字楼-1号楼-9B</t>
  </si>
  <si>
    <t>9C</t>
  </si>
  <si>
    <t>三亚恒大御府-一期-写字楼-1号楼-9C</t>
  </si>
  <si>
    <t>9D</t>
  </si>
  <si>
    <t>三亚恒大御府-一期-写字楼-1号楼-9D</t>
  </si>
  <si>
    <t>9E</t>
  </si>
  <si>
    <t>三亚恒大御府-一期-写字楼-1号楼-9E</t>
  </si>
  <si>
    <t>9F</t>
  </si>
  <si>
    <t>三亚恒大御府-一期-写字楼-1号楼-9F</t>
  </si>
  <si>
    <t>9G</t>
  </si>
  <si>
    <t>三亚恒大御府-一期-写字楼-1号楼-9G</t>
  </si>
  <si>
    <t>9H</t>
  </si>
  <si>
    <t>三亚恒大御府-一期-写字楼-1号楼-9H</t>
  </si>
  <si>
    <t>10A</t>
  </si>
  <si>
    <t>三亚恒大御府-一期-写字楼-1号楼-10A</t>
  </si>
  <si>
    <t>10B</t>
  </si>
  <si>
    <t>三亚恒大御府-一期-写字楼-1号楼-10B</t>
  </si>
  <si>
    <t>10C</t>
  </si>
  <si>
    <t>三亚恒大御府-一期-写字楼-1号楼-10C</t>
  </si>
  <si>
    <t>10D</t>
  </si>
  <si>
    <t>三亚恒大御府-一期-写字楼-1号楼-10D</t>
  </si>
  <si>
    <t>10E</t>
  </si>
  <si>
    <t>三亚恒大御府-一期-写字楼-1号楼-10E</t>
  </si>
  <si>
    <t>10F</t>
  </si>
  <si>
    <t>三亚恒大御府-一期-写字楼-1号楼-10F</t>
  </si>
  <si>
    <t>10G</t>
  </si>
  <si>
    <t>三亚恒大御府-一期-写字楼-1号楼-10G</t>
  </si>
  <si>
    <t>10H</t>
  </si>
  <si>
    <t>三亚恒大御府-一期-写字楼-1号楼-10H</t>
  </si>
  <si>
    <t>11A</t>
  </si>
  <si>
    <t>三亚恒大御府-一期-写字楼-1号楼-11A</t>
  </si>
  <si>
    <t>11B</t>
  </si>
  <si>
    <t>三亚恒大御府-一期-写字楼-1号楼-11B</t>
  </si>
  <si>
    <t>11C</t>
  </si>
  <si>
    <t>三亚恒大御府-一期-写字楼-1号楼-11C</t>
  </si>
  <si>
    <t>11D</t>
  </si>
  <si>
    <t>三亚恒大御府-一期-写字楼-1号楼-11D</t>
  </si>
  <si>
    <t>11E</t>
  </si>
  <si>
    <t>三亚恒大御府-一期-写字楼-1号楼-11E</t>
  </si>
  <si>
    <t>11F</t>
  </si>
  <si>
    <t>三亚恒大御府-一期-写字楼-1号楼-11F</t>
  </si>
  <si>
    <t>11G</t>
  </si>
  <si>
    <t>三亚恒大御府-一期-写字楼-1号楼-11G</t>
  </si>
  <si>
    <t>11H</t>
  </si>
  <si>
    <t>三亚恒大御府-一期-写字楼-1号楼-11H</t>
  </si>
  <si>
    <t>12A</t>
  </si>
  <si>
    <t>三亚恒大御府-一期-写字楼-1号楼-12A</t>
  </si>
  <si>
    <t>12B</t>
  </si>
  <si>
    <t>三亚恒大御府-一期-写字楼-1号楼-12B</t>
  </si>
  <si>
    <t>12C</t>
  </si>
  <si>
    <t>三亚恒大御府-一期-写字楼-1号楼-12C</t>
  </si>
  <si>
    <t>12D</t>
  </si>
  <si>
    <t>三亚恒大御府-一期-写字楼-1号楼-12D</t>
  </si>
  <si>
    <t>12E</t>
  </si>
  <si>
    <t>三亚恒大御府-一期-写字楼-1号楼-12E</t>
  </si>
  <si>
    <t>12F</t>
  </si>
  <si>
    <t>三亚恒大御府-一期-写字楼-1号楼-12F</t>
  </si>
  <si>
    <t>12G</t>
  </si>
  <si>
    <t>三亚恒大御府-一期-写字楼-1号楼-12G</t>
  </si>
  <si>
    <t>12H</t>
  </si>
  <si>
    <t>三亚恒大御府-一期-写字楼-1号楼-12H</t>
  </si>
  <si>
    <t>13A</t>
  </si>
  <si>
    <t>三亚恒大御府-一期-写字楼-1号楼-13A</t>
  </si>
  <si>
    <t>13B</t>
  </si>
  <si>
    <t>三亚恒大御府-一期-写字楼-1号楼-13B</t>
  </si>
  <si>
    <t>13C</t>
  </si>
  <si>
    <t>三亚恒大御府-一期-写字楼-1号楼-13C</t>
  </si>
  <si>
    <t>13D</t>
  </si>
  <si>
    <t>三亚恒大御府-一期-写字楼-1号楼-13D</t>
  </si>
  <si>
    <t>13E</t>
  </si>
  <si>
    <t>三亚恒大御府-一期-写字楼-1号楼-13E</t>
  </si>
  <si>
    <t>13F</t>
  </si>
  <si>
    <t>三亚恒大御府-一期-写字楼-1号楼-13F</t>
  </si>
  <si>
    <t>13G</t>
  </si>
  <si>
    <t>三亚恒大御府-一期-写字楼-1号楼-13G</t>
  </si>
  <si>
    <t>13H</t>
  </si>
  <si>
    <t>三亚恒大御府-一期-写字楼-1号楼-13H</t>
  </si>
  <si>
    <t>14A</t>
  </si>
  <si>
    <t>三亚恒大御府-一期-写字楼-1号楼-14A</t>
  </si>
  <si>
    <t>14B</t>
  </si>
  <si>
    <t>三亚恒大御府-一期-写字楼-1号楼-14B</t>
  </si>
  <si>
    <t>14C</t>
  </si>
  <si>
    <t>三亚恒大御府-一期-写字楼-1号楼-14C</t>
  </si>
  <si>
    <t>14D</t>
  </si>
  <si>
    <t>三亚恒大御府-一期-写字楼-1号楼-14D</t>
  </si>
  <si>
    <t>14E</t>
  </si>
  <si>
    <t>三亚恒大御府-一期-写字楼-1号楼-14E</t>
  </si>
  <si>
    <t>14F</t>
  </si>
  <si>
    <t>三亚恒大御府-一期-写字楼-1号楼-14F</t>
  </si>
  <si>
    <t>14G</t>
  </si>
  <si>
    <t>三亚恒大御府-一期-写字楼-1号楼-14G</t>
  </si>
  <si>
    <t>14H</t>
  </si>
  <si>
    <t>三亚恒大御府-一期-写字楼-1号楼-14H</t>
  </si>
  <si>
    <t>15A</t>
  </si>
  <si>
    <t>三亚恒大御府-一期-写字楼-1号楼-15A</t>
  </si>
  <si>
    <t>15B</t>
  </si>
  <si>
    <t>三亚恒大御府-一期-写字楼-1号楼-15B</t>
  </si>
  <si>
    <t>15C</t>
  </si>
  <si>
    <t>三亚恒大御府-一期-写字楼-1号楼-15C</t>
  </si>
  <si>
    <t>15D</t>
  </si>
  <si>
    <t>三亚恒大御府-一期-写字楼-1号楼-15D</t>
  </si>
  <si>
    <t>15E</t>
  </si>
  <si>
    <t>三亚恒大御府-一期-写字楼-1号楼-15E</t>
  </si>
  <si>
    <t>15F</t>
  </si>
  <si>
    <t>三亚恒大御府-一期-写字楼-1号楼-15F</t>
  </si>
  <si>
    <t>15G</t>
  </si>
  <si>
    <t>三亚恒大御府-一期-写字楼-1号楼-15G</t>
  </si>
  <si>
    <t>15H</t>
  </si>
  <si>
    <t>三亚恒大御府-一期-写字楼-1号楼-15H</t>
  </si>
  <si>
    <t>16A</t>
  </si>
  <si>
    <t>三亚恒大御府-一期-写字楼-1号楼-16A</t>
  </si>
  <si>
    <t>16B</t>
  </si>
  <si>
    <t>三亚恒大御府-一期-写字楼-1号楼-16B</t>
  </si>
  <si>
    <t>16C</t>
  </si>
  <si>
    <t>三亚恒大御府-一期-写字楼-1号楼-16C</t>
  </si>
  <si>
    <t>16D</t>
  </si>
  <si>
    <t>三亚恒大御府-一期-写字楼-1号楼-16D</t>
  </si>
  <si>
    <t>16E</t>
  </si>
  <si>
    <t>三亚恒大御府-一期-写字楼-1号楼-16E</t>
  </si>
  <si>
    <t>16F</t>
  </si>
  <si>
    <t>三亚恒大御府-一期-写字楼-1号楼-16F</t>
  </si>
  <si>
    <t>16G</t>
  </si>
  <si>
    <t>三亚恒大御府-一期-写字楼-1号楼-16G</t>
  </si>
  <si>
    <t>16H</t>
  </si>
  <si>
    <t>三亚恒大御府-一期-写字楼-1号楼-16H</t>
  </si>
  <si>
    <t>17B</t>
  </si>
  <si>
    <t>三亚恒大御府-一期-写字楼-1号楼-17B</t>
  </si>
  <si>
    <t>17C</t>
  </si>
  <si>
    <t>三亚恒大御府-一期-写字楼-1号楼-17C</t>
  </si>
  <si>
    <t>17D</t>
  </si>
  <si>
    <t>三亚恒大御府-一期-写字楼-1号楼-17D</t>
  </si>
  <si>
    <t>17E</t>
  </si>
  <si>
    <t>三亚恒大御府-一期-写字楼-1号楼-17E</t>
  </si>
  <si>
    <t>17F</t>
  </si>
  <si>
    <t>三亚恒大御府-一期-写字楼-1号楼-17F</t>
  </si>
  <si>
    <t>17G</t>
  </si>
  <si>
    <t>三亚恒大御府-一期-写字楼-1号楼-17G</t>
  </si>
  <si>
    <t>17H</t>
  </si>
  <si>
    <t>三亚恒大御府-一期-写字楼-1号楼-17H</t>
  </si>
  <si>
    <t>4号楼商铺</t>
  </si>
  <si>
    <t>三亚恒大御府-商铺-4号楼商铺-105</t>
  </si>
  <si>
    <t>三亚恒大御府-商铺-商业及影城-108</t>
  </si>
  <si>
    <t>三亚恒大御府-商铺-商业及影城-110</t>
  </si>
  <si>
    <t>三亚恒大御府-商铺-商业及影城-115</t>
  </si>
  <si>
    <t>三亚恒大御府-商铺-商业及影城-122</t>
  </si>
  <si>
    <t>三亚恒大御府-商铺-商业及影城-123</t>
  </si>
  <si>
    <t>三亚恒大御府-商铺-商业及影城-124</t>
  </si>
  <si>
    <t>7_8号楼1单元商铺</t>
  </si>
  <si>
    <t>三亚恒大御府-商铺-7_8号楼1单元商铺-108</t>
  </si>
  <si>
    <t>三亚恒大御府-商铺-7_8号楼1单元商铺-110</t>
  </si>
  <si>
    <t>11_12号楼1单元商铺</t>
  </si>
  <si>
    <t>三亚恒大御府-商铺-11_12号楼1单元商铺-103</t>
  </si>
  <si>
    <t>2号楼商铺</t>
  </si>
  <si>
    <t>三亚恒大御府-商铺-2号楼商铺-101</t>
  </si>
  <si>
    <t>三亚恒大御府-商铺-2号楼商铺-108</t>
  </si>
  <si>
    <t>1号楼商铺</t>
  </si>
  <si>
    <t>三亚恒大御府-商铺-1号楼商铺-105</t>
  </si>
  <si>
    <t>三亚恒大御府-商铺-1号楼商铺-106</t>
  </si>
  <si>
    <t>三亚恒大御府-商铺-1号楼商铺-110</t>
  </si>
  <si>
    <t>三亚恒大御府-商铺-1号楼商铺-111</t>
  </si>
  <si>
    <t>三亚恒大御府-商铺-1号楼商铺-113</t>
  </si>
  <si>
    <t>三亚恒大御府-商铺-1号楼商铺-115</t>
  </si>
  <si>
    <t>三亚恒大御府-商铺-1号楼商铺-118</t>
  </si>
  <si>
    <t>三亚恒大御府-商铺-1号楼商铺-120</t>
  </si>
  <si>
    <t>19_20号楼商铺</t>
  </si>
  <si>
    <t>三亚恒大御府-商铺-19_20号楼商铺-101</t>
  </si>
  <si>
    <t>三亚恒大御府-商铺-19_20号楼商铺-102</t>
  </si>
  <si>
    <t>三亚恒大御府-商铺-19_20号楼商铺-103</t>
  </si>
  <si>
    <t>三亚恒大御府-商铺-19_20号楼商铺-104</t>
  </si>
  <si>
    <t>三亚恒大御府-商铺-19_20号楼商铺-105</t>
  </si>
  <si>
    <t>三亚恒大御府-商铺-19_20号楼商铺-106</t>
  </si>
  <si>
    <t>三亚恒大御府-商铺-19_20号楼商铺-107</t>
  </si>
  <si>
    <t>三亚恒大御府-商铺-19_20号楼商铺-108</t>
  </si>
  <si>
    <t>影城</t>
    <phoneticPr fontId="143" type="noConversion"/>
  </si>
  <si>
    <t>合计</t>
    <phoneticPr fontId="143" type="noConversion"/>
  </si>
  <si>
    <t>汇总</t>
    <phoneticPr fontId="143" type="noConversion"/>
  </si>
  <si>
    <t>楼号</t>
    <phoneticPr fontId="143" type="noConversion"/>
  </si>
  <si>
    <r>
      <t>1</t>
    </r>
    <r>
      <rPr>
        <sz val="11"/>
        <color theme="1"/>
        <rFont val="宋体"/>
        <family val="3"/>
        <charset val="134"/>
        <scheme val="minor"/>
      </rPr>
      <t>4-15#住宅楼</t>
    </r>
    <phoneticPr fontId="143" type="noConversion"/>
  </si>
  <si>
    <t>用途</t>
    <phoneticPr fontId="143" type="noConversion"/>
  </si>
  <si>
    <t>面积</t>
    <phoneticPr fontId="143" type="noConversion"/>
  </si>
  <si>
    <t>住宅</t>
    <phoneticPr fontId="143" type="noConversion"/>
  </si>
  <si>
    <t>套数</t>
    <phoneticPr fontId="143" type="noConversion"/>
  </si>
  <si>
    <t>项目局部</t>
  </si>
  <si>
    <t>成本法</t>
  </si>
  <si>
    <t>假设开发法</t>
  </si>
  <si>
    <r>
      <t>5</t>
    </r>
    <r>
      <rPr>
        <sz val="11"/>
        <color theme="1"/>
        <rFont val="宋体"/>
        <family val="3"/>
        <charset val="134"/>
        <scheme val="minor"/>
      </rPr>
      <t>-6#住宅楼</t>
    </r>
    <phoneticPr fontId="143" type="noConversion"/>
  </si>
  <si>
    <t>住宅</t>
    <phoneticPr fontId="143" type="noConversion"/>
  </si>
  <si>
    <r>
      <t>1</t>
    </r>
    <r>
      <rPr>
        <sz val="11"/>
        <color theme="1"/>
        <rFont val="宋体"/>
        <family val="3"/>
        <charset val="134"/>
        <scheme val="minor"/>
      </rPr>
      <t>3#住宅楼</t>
    </r>
    <phoneticPr fontId="143" type="noConversion"/>
  </si>
  <si>
    <r>
      <t>1</t>
    </r>
    <r>
      <rPr>
        <sz val="11"/>
        <color theme="1"/>
        <rFont val="宋体"/>
        <family val="3"/>
        <charset val="134"/>
        <scheme val="minor"/>
      </rPr>
      <t>6#住宅楼</t>
    </r>
    <phoneticPr fontId="143" type="noConversion"/>
  </si>
  <si>
    <r>
      <t>7</t>
    </r>
    <r>
      <rPr>
        <sz val="11"/>
        <color theme="1"/>
        <rFont val="宋体"/>
        <family val="3"/>
        <charset val="134"/>
        <scheme val="minor"/>
      </rPr>
      <t>-8#住宅楼</t>
    </r>
    <phoneticPr fontId="143" type="noConversion"/>
  </si>
  <si>
    <r>
      <t>1</t>
    </r>
    <r>
      <rPr>
        <sz val="11"/>
        <color theme="1"/>
        <rFont val="宋体"/>
        <family val="3"/>
        <charset val="134"/>
        <scheme val="minor"/>
      </rPr>
      <t>1-12#住宅楼</t>
    </r>
    <phoneticPr fontId="143" type="noConversion"/>
  </si>
  <si>
    <t>9-10#住宅楼</t>
    <phoneticPr fontId="143" type="noConversion"/>
  </si>
  <si>
    <r>
      <t>1</t>
    </r>
    <r>
      <rPr>
        <sz val="11"/>
        <color theme="1"/>
        <rFont val="宋体"/>
        <family val="3"/>
        <charset val="134"/>
        <scheme val="minor"/>
      </rPr>
      <t>9-20#住宅楼</t>
    </r>
    <phoneticPr fontId="143" type="noConversion"/>
  </si>
  <si>
    <r>
      <t>1</t>
    </r>
    <r>
      <rPr>
        <sz val="11"/>
        <color theme="1"/>
        <rFont val="宋体"/>
        <family val="3"/>
        <charset val="134"/>
        <scheme val="minor"/>
      </rPr>
      <t>7-18#住宅楼</t>
    </r>
    <phoneticPr fontId="143" type="noConversion"/>
  </si>
  <si>
    <r>
      <t>4</t>
    </r>
    <r>
      <rPr>
        <sz val="11"/>
        <color theme="1"/>
        <rFont val="宋体"/>
        <family val="3"/>
        <charset val="134"/>
        <scheme val="minor"/>
      </rPr>
      <t>#公寓楼</t>
    </r>
    <phoneticPr fontId="143" type="noConversion"/>
  </si>
  <si>
    <t>公寓</t>
  </si>
  <si>
    <t>公寓</t>
    <phoneticPr fontId="143" type="noConversion"/>
  </si>
  <si>
    <r>
      <t>2</t>
    </r>
    <r>
      <rPr>
        <sz val="11"/>
        <color theme="1"/>
        <rFont val="宋体"/>
        <family val="3"/>
        <charset val="134"/>
        <scheme val="minor"/>
      </rPr>
      <t>#公寓楼</t>
    </r>
    <phoneticPr fontId="143" type="noConversion"/>
  </si>
  <si>
    <r>
      <t>3</t>
    </r>
    <r>
      <rPr>
        <sz val="11"/>
        <color theme="1"/>
        <rFont val="宋体"/>
        <family val="3"/>
        <charset val="134"/>
        <scheme val="minor"/>
      </rPr>
      <t>#公寓楼</t>
    </r>
    <phoneticPr fontId="143" type="noConversion"/>
  </si>
  <si>
    <r>
      <t>1</t>
    </r>
    <r>
      <rPr>
        <sz val="11"/>
        <color theme="1"/>
        <rFont val="宋体"/>
        <family val="3"/>
        <charset val="134"/>
        <scheme val="minor"/>
      </rPr>
      <t>#写字楼</t>
    </r>
    <phoneticPr fontId="143" type="noConversion"/>
  </si>
  <si>
    <t>办公</t>
    <phoneticPr fontId="143" type="noConversion"/>
  </si>
  <si>
    <r>
      <t>4</t>
    </r>
    <r>
      <rPr>
        <sz val="11"/>
        <color theme="1"/>
        <rFont val="宋体"/>
        <family val="3"/>
        <charset val="134"/>
        <scheme val="minor"/>
      </rPr>
      <t>#楼商业</t>
    </r>
    <phoneticPr fontId="143" type="noConversion"/>
  </si>
  <si>
    <t>商业</t>
    <phoneticPr fontId="143" type="noConversion"/>
  </si>
  <si>
    <t>商铺</t>
    <phoneticPr fontId="143" type="noConversion"/>
  </si>
  <si>
    <t>商业及影城</t>
    <phoneticPr fontId="143" type="noConversion"/>
  </si>
  <si>
    <t>影院</t>
    <phoneticPr fontId="143" type="noConversion"/>
  </si>
  <si>
    <t>否</t>
  </si>
  <si>
    <t>公寓</t>
    <phoneticPr fontId="16" type="noConversion"/>
  </si>
  <si>
    <t>办公楼</t>
  </si>
  <si>
    <t>抵押物清单</t>
    <phoneticPr fontId="3" type="noConversion"/>
  </si>
  <si>
    <t>公寓</t>
    <phoneticPr fontId="7" type="noConversion"/>
  </si>
  <si>
    <t>按面积比例</t>
  </si>
  <si>
    <r>
      <t>5-6#</t>
    </r>
    <r>
      <rPr>
        <sz val="11"/>
        <color indexed="8"/>
        <rFont val="宋体"/>
        <family val="3"/>
        <charset val="134"/>
      </rPr>
      <t>配套设备</t>
    </r>
    <phoneticPr fontId="3" type="noConversion"/>
  </si>
  <si>
    <t>7-8#、11-12#配套设备</t>
    <phoneticPr fontId="3" type="noConversion"/>
  </si>
  <si>
    <r>
      <t>9-10#</t>
    </r>
    <r>
      <rPr>
        <sz val="11"/>
        <color indexed="8"/>
        <rFont val="宋体"/>
        <family val="3"/>
        <charset val="134"/>
      </rPr>
      <t>配套设备</t>
    </r>
    <phoneticPr fontId="3" type="noConversion"/>
  </si>
  <si>
    <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4#</t>
    </r>
    <r>
      <rPr>
        <sz val="11"/>
        <color indexed="8"/>
        <rFont val="宋体"/>
        <family val="3"/>
        <charset val="134"/>
      </rPr>
      <t>配套设备</t>
    </r>
    <phoneticPr fontId="3" type="noConversion"/>
  </si>
  <si>
    <r>
      <t>13#</t>
    </r>
    <r>
      <rPr>
        <sz val="11"/>
        <color indexed="8"/>
        <rFont val="宋体"/>
        <family val="3"/>
        <charset val="134"/>
      </rPr>
      <t>配套设备</t>
    </r>
    <phoneticPr fontId="3" type="noConversion"/>
  </si>
  <si>
    <r>
      <t>14-15#</t>
    </r>
    <r>
      <rPr>
        <sz val="11"/>
        <color indexed="8"/>
        <rFont val="宋体"/>
        <family val="3"/>
        <charset val="134"/>
      </rPr>
      <t>配套设备</t>
    </r>
    <phoneticPr fontId="3" type="noConversion"/>
  </si>
  <si>
    <r>
      <t>16#</t>
    </r>
    <r>
      <rPr>
        <sz val="11"/>
        <color indexed="8"/>
        <rFont val="宋体"/>
        <family val="3"/>
        <charset val="134"/>
      </rPr>
      <t>配套设备</t>
    </r>
    <phoneticPr fontId="3" type="noConversion"/>
  </si>
  <si>
    <r>
      <t>17-18#</t>
    </r>
    <r>
      <rPr>
        <sz val="11"/>
        <color indexed="8"/>
        <rFont val="宋体"/>
        <family val="3"/>
        <charset val="134"/>
      </rPr>
      <t>配套设备</t>
    </r>
    <phoneticPr fontId="3" type="noConversion"/>
  </si>
  <si>
    <r>
      <t>19-20#</t>
    </r>
    <r>
      <rPr>
        <sz val="11"/>
        <color indexed="8"/>
        <rFont val="宋体"/>
        <family val="3"/>
        <charset val="134"/>
      </rPr>
      <t>配套设备</t>
    </r>
    <phoneticPr fontId="3" type="noConversion"/>
  </si>
  <si>
    <t>工程进度</t>
    <phoneticPr fontId="143" type="noConversion"/>
  </si>
  <si>
    <t>封顶、外装完成</t>
    <phoneticPr fontId="143" type="noConversion"/>
  </si>
  <si>
    <t>封顶、外装完成、内装中</t>
    <phoneticPr fontId="143" type="noConversion"/>
  </si>
  <si>
    <t>竣工</t>
    <phoneticPr fontId="143" type="noConversion"/>
  </si>
  <si>
    <t>封顶</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</si>
  <si>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</si>
  <si>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</si>
  <si>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</si>
  <si>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</si>
  <si>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</si>
  <si>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</si>
  <si>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</si>
  <si>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</si>
  <si>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</si>
  <si>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</si>
  <si>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</si>
  <si>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</si>
  <si>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</si>
  <si>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</si>
  <si>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中心城区控规BP08-26和BP08-27地块</t>
  </si>
  <si>
    <t>三亚市</t>
  </si>
  <si>
    <t>住宅用地</t>
  </si>
  <si>
    <t>大于1并且小于或等于2.5</t>
  </si>
  <si>
    <t>挂牌</t>
  </si>
  <si>
    <t>2019-09-30</t>
  </si>
  <si>
    <t>三亚国奥体育产业投资有限公司</t>
  </si>
  <si>
    <t>4星</t>
  </si>
  <si>
    <t>中心城区控规BP06-26、BP06-28、BP06-30和BP06-32A地块</t>
  </si>
  <si>
    <t>三亚市天涯国际影视拍摄制作服务中心有限公司</t>
  </si>
  <si>
    <t>5星</t>
  </si>
  <si>
    <t>三亚市月川片区控规YC3-37-3地块内</t>
  </si>
  <si>
    <t>＞1且≤3.5</t>
  </si>
  <si>
    <t>2018-12-29</t>
  </si>
  <si>
    <t>海南中投合通实业发展有限公司</t>
  </si>
  <si>
    <t>三亚市红沙片区控规B-030地块内</t>
  </si>
  <si>
    <t>＞1且≤2</t>
  </si>
  <si>
    <t>2017-10-16</t>
  </si>
  <si>
    <t>三亚润丰投资建设有限公司</t>
  </si>
  <si>
    <t>河东旧城改造控规HD03-01-02地块</t>
  </si>
  <si>
    <t>综合用地(含住宅)</t>
  </si>
  <si>
    <t>≤2.738</t>
  </si>
  <si>
    <t>2017-07-10</t>
  </si>
  <si>
    <t>三亚富岛置业有限公司</t>
  </si>
  <si>
    <t>吉阳片区控规A-39地块</t>
  </si>
  <si>
    <t>＞1,≤2</t>
  </si>
  <si>
    <t>三亚上成房地产开发有限公司</t>
  </si>
  <si>
    <t>2星</t>
  </si>
  <si>
    <t>下洋田安置区地块</t>
  </si>
  <si>
    <t>＞1,≤2.5</t>
  </si>
  <si>
    <t>2015-10-30</t>
  </si>
  <si>
    <t>三亚京海成房地产开发有限公司</t>
  </si>
  <si>
    <t>三亚市红沙棕榈滩控规G2-1、H3-4、H1-6、H1-7、H1-8和H1-10地块</t>
  </si>
  <si>
    <t>大于1并且小于或等于2</t>
  </si>
  <si>
    <t>2015-01-09</t>
  </si>
  <si>
    <t>绿地控股集团有限公司、绿地集团三亚置业有限公司</t>
  </si>
  <si>
    <t>吉阳镇迎宾路清平乐小区西侧</t>
  </si>
  <si>
    <t>2014-05-22</t>
  </si>
  <si>
    <t>三亚东锣岛地产有限公司</t>
  </si>
  <si>
    <t>红沙棕榈滩控规G3-1、H4-1、H1-11和H1-12地块</t>
  </si>
  <si>
    <t>2014-02-12</t>
  </si>
  <si>
    <t>绿地控股集团有限公司</t>
  </si>
  <si>
    <t>三亚市迎宾路中段控规B-05-05和B-06-06地块</t>
  </si>
  <si>
    <t>2013-05-09</t>
  </si>
  <si>
    <t>三亚润德置业投资有限公司</t>
  </si>
  <si>
    <t>三亚市临春控规E-5号地块内</t>
  </si>
  <si>
    <t>大于或等于1并且小于或等于1.01</t>
  </si>
  <si>
    <t>2012-08-06</t>
  </si>
  <si>
    <t>三亚(首都机场)投资开发有限公司</t>
  </si>
  <si>
    <t>三亚市临春控规E-6号地块内</t>
  </si>
  <si>
    <t>大于或等于1并且小于或等于1.8</t>
  </si>
  <si>
    <t>三亚市吉阳镇榆亚大道东侧</t>
  </si>
  <si>
    <t>≤2</t>
  </si>
  <si>
    <t>招标</t>
  </si>
  <si>
    <t>2011-12-29</t>
  </si>
  <si>
    <t>三亚盈湾旅业有限公司</t>
  </si>
  <si>
    <t>三亚市田独高新技术产业园B15-1号地块</t>
  </si>
  <si>
    <t>1-3</t>
  </si>
  <si>
    <t>2011-11-22</t>
  </si>
  <si>
    <t>三亚和泓房地产开发有限公司</t>
  </si>
  <si>
    <t>正常</t>
  </si>
  <si>
    <t>全部缴纳</t>
  </si>
  <si>
    <t>未包含在土地购买价格中</t>
  </si>
  <si>
    <t>已包含在土地取得成本中</t>
  </si>
  <si>
    <t>收益法</t>
  </si>
  <si>
    <t>在建（套用方法）</t>
  </si>
  <si>
    <t>押一</t>
  </si>
  <si>
    <t>按租金收入计税</t>
  </si>
  <si>
    <t>钢混</t>
  </si>
  <si>
    <t>非生产用房</t>
  </si>
  <si>
    <t>收益法 (商业)</t>
  </si>
  <si>
    <t>收益法 (商业)</t>
    <phoneticPr fontId="16" type="noConversion"/>
  </si>
  <si>
    <t>情况3</t>
  </si>
  <si>
    <t>成本比率</t>
  </si>
  <si>
    <t>出让金+开发费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</si>
</sst>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0" fontId="50" fillId="9" borderId="1"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47" fillId="9" borderId="2" xfId="0"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100" fillId="0" borderId="0" xfId="0" applyFont="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xf>
    <xf numFmtId="0" fontId="47" fillId="17" borderId="2" xfId="0" applyFont="1" applyFill="1" applyBorder="1" applyAlignment="1" applyProtection="1">
      <alignment horizontal="center" vertical="center" wrapText="1"/>
      <protection locked="0"/>
    </xf>
    <xf numFmtId="0" fontId="0" fillId="17" borderId="0" xfId="0" applyFill="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5" borderId="0" xfId="0" applyFont="1" applyFill="1" applyAlignment="1">
      <alignment horizontal="center" vertical="center"/>
    </xf>
    <xf numFmtId="0" fontId="0" fillId="5" borderId="0" xfId="0" applyFill="1" applyAlignment="1">
      <alignment horizontal="center" vertical="center"/>
    </xf>
    <xf numFmtId="9" fontId="0" fillId="0" borderId="0" xfId="0" applyNumberFormat="1" applyAlignment="1">
      <alignment horizontal="center" vertical="center"/>
    </xf>
    <xf numFmtId="0" fontId="0" fillId="5" borderId="0" xfId="0" applyFill="1" applyAlignment="1"/>
    <xf numFmtId="0" fontId="0" fillId="0" borderId="0" xfId="0" applyFill="1" applyAlignment="1"/>
    <xf numFmtId="183" fontId="254" fillId="0" borderId="1" xfId="0" applyNumberFormat="1" applyFont="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0" fillId="0" borderId="0" xfId="0" applyFont="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1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38026</xdr:colOff>
      <xdr:row>1347</xdr:row>
      <xdr:rowOff>0</xdr:rowOff>
    </xdr:from>
    <xdr:to>
      <xdr:col>12</xdr:col>
      <xdr:colOff>250029</xdr:colOff>
      <xdr:row>1360</xdr:row>
      <xdr:rowOff>31750</xdr:rowOff>
    </xdr:to>
    <xdr:pic>
      <xdr:nvPicPr>
        <xdr:cNvPr id="2" name="图片 1">
          <a:extLst>
            <a:ext uri="{FF2B5EF4-FFF2-40B4-BE49-F238E27FC236}">
              <a16:creationId xmlns:a16="http://schemas.microsoft.com/office/drawing/2014/main" id="{78E2A8FE-2F76-4AC2-9FB9-D926DE7CBBE6}"/>
            </a:ext>
          </a:extLst>
        </xdr:cNvPr>
        <xdr:cNvPicPr>
          <a:picLocks noChangeAspect="1"/>
        </xdr:cNvPicPr>
      </xdr:nvPicPr>
      <xdr:blipFill>
        <a:blip xmlns:r="http://schemas.openxmlformats.org/officeDocument/2006/relationships" r:embed="rId1"/>
        <a:stretch>
          <a:fillRect/>
        </a:stretch>
      </xdr:blipFill>
      <xdr:spPr>
        <a:xfrm>
          <a:off x="8356526" y="2717800"/>
          <a:ext cx="3958503" cy="2343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16</xdr:row>
      <xdr:rowOff>0</xdr:rowOff>
    </xdr:from>
    <xdr:to>
      <xdr:col>10</xdr:col>
      <xdr:colOff>90576</xdr:colOff>
      <xdr:row>32</xdr:row>
      <xdr:rowOff>126756</xdr:rowOff>
    </xdr:to>
    <xdr:pic>
      <xdr:nvPicPr>
        <xdr:cNvPr id="2" name="图片 1">
          <a:extLst>
            <a:ext uri="{FF2B5EF4-FFF2-40B4-BE49-F238E27FC236}">
              <a16:creationId xmlns:a16="http://schemas.microsoft.com/office/drawing/2014/main" id="{D689DB83-D9B4-4983-A536-F3B73B835A7E}"/>
            </a:ext>
          </a:extLst>
        </xdr:cNvPr>
        <xdr:cNvPicPr>
          <a:picLocks noChangeAspect="1"/>
        </xdr:cNvPicPr>
      </xdr:nvPicPr>
      <xdr:blipFill>
        <a:blip xmlns:r="http://schemas.openxmlformats.org/officeDocument/2006/relationships" r:embed="rId1"/>
        <a:stretch>
          <a:fillRect/>
        </a:stretch>
      </xdr:blipFill>
      <xdr:spPr>
        <a:xfrm>
          <a:off x="152400" y="2844800"/>
          <a:ext cx="6034176" cy="2971556"/>
        </a:xfrm>
        <a:prstGeom prst="rect">
          <a:avLst/>
        </a:prstGeom>
      </xdr:spPr>
    </xdr:pic>
    <xdr:clientData/>
  </xdr:twoCellAnchor>
  <xdr:twoCellAnchor editAs="oneCell">
    <xdr:from>
      <xdr:col>0</xdr:col>
      <xdr:colOff>196850</xdr:colOff>
      <xdr:row>0</xdr:row>
      <xdr:rowOff>0</xdr:rowOff>
    </xdr:from>
    <xdr:to>
      <xdr:col>12</xdr:col>
      <xdr:colOff>537781</xdr:colOff>
      <xdr:row>15</xdr:row>
      <xdr:rowOff>175119</xdr:rowOff>
    </xdr:to>
    <xdr:pic>
      <xdr:nvPicPr>
        <xdr:cNvPr id="3" name="图片 2">
          <a:extLst>
            <a:ext uri="{FF2B5EF4-FFF2-40B4-BE49-F238E27FC236}">
              <a16:creationId xmlns:a16="http://schemas.microsoft.com/office/drawing/2014/main" id="{DA3B22A4-7A48-421B-A380-2CE2726DEB57}"/>
            </a:ext>
          </a:extLst>
        </xdr:cNvPr>
        <xdr:cNvPicPr>
          <a:picLocks noChangeAspect="1"/>
        </xdr:cNvPicPr>
      </xdr:nvPicPr>
      <xdr:blipFill>
        <a:blip xmlns:r="http://schemas.openxmlformats.org/officeDocument/2006/relationships" r:embed="rId2"/>
        <a:stretch>
          <a:fillRect/>
        </a:stretch>
      </xdr:blipFill>
      <xdr:spPr>
        <a:xfrm>
          <a:off x="196850" y="0"/>
          <a:ext cx="7656131" cy="2842119"/>
        </a:xfrm>
        <a:prstGeom prst="rect">
          <a:avLst/>
        </a:prstGeom>
      </xdr:spPr>
    </xdr:pic>
    <xdr:clientData/>
  </xdr:twoCellAnchor>
  <xdr:twoCellAnchor editAs="oneCell">
    <xdr:from>
      <xdr:col>0</xdr:col>
      <xdr:colOff>158750</xdr:colOff>
      <xdr:row>33</xdr:row>
      <xdr:rowOff>44451</xdr:rowOff>
    </xdr:from>
    <xdr:to>
      <xdr:col>13</xdr:col>
      <xdr:colOff>598259</xdr:colOff>
      <xdr:row>49</xdr:row>
      <xdr:rowOff>35289</xdr:rowOff>
    </xdr:to>
    <xdr:pic>
      <xdr:nvPicPr>
        <xdr:cNvPr id="4" name="图片 3">
          <a:extLst>
            <a:ext uri="{FF2B5EF4-FFF2-40B4-BE49-F238E27FC236}">
              <a16:creationId xmlns:a16="http://schemas.microsoft.com/office/drawing/2014/main" id="{5D58AE61-6DBF-47C4-9E02-270568A936B8}"/>
            </a:ext>
          </a:extLst>
        </xdr:cNvPr>
        <xdr:cNvPicPr>
          <a:picLocks noChangeAspect="1"/>
        </xdr:cNvPicPr>
      </xdr:nvPicPr>
      <xdr:blipFill>
        <a:blip xmlns:r="http://schemas.openxmlformats.org/officeDocument/2006/relationships" r:embed="rId3"/>
        <a:stretch>
          <a:fillRect/>
        </a:stretch>
      </xdr:blipFill>
      <xdr:spPr>
        <a:xfrm>
          <a:off x="158750" y="5911851"/>
          <a:ext cx="8364309" cy="2835638"/>
        </a:xfrm>
        <a:prstGeom prst="rect">
          <a:avLst/>
        </a:prstGeom>
      </xdr:spPr>
    </xdr:pic>
    <xdr:clientData/>
  </xdr:twoCellAnchor>
  <xdr:twoCellAnchor editAs="oneCell">
    <xdr:from>
      <xdr:col>0</xdr:col>
      <xdr:colOff>146050</xdr:colOff>
      <xdr:row>48</xdr:row>
      <xdr:rowOff>44450</xdr:rowOff>
    </xdr:from>
    <xdr:to>
      <xdr:col>15</xdr:col>
      <xdr:colOff>518926</xdr:colOff>
      <xdr:row>56</xdr:row>
      <xdr:rowOff>161357</xdr:rowOff>
    </xdr:to>
    <xdr:pic>
      <xdr:nvPicPr>
        <xdr:cNvPr id="5" name="图片 4">
          <a:extLst>
            <a:ext uri="{FF2B5EF4-FFF2-40B4-BE49-F238E27FC236}">
              <a16:creationId xmlns:a16="http://schemas.microsoft.com/office/drawing/2014/main" id="{94744A3D-919A-4007-B825-79128B6CD5C8}"/>
            </a:ext>
          </a:extLst>
        </xdr:cNvPr>
        <xdr:cNvPicPr>
          <a:picLocks noChangeAspect="1"/>
        </xdr:cNvPicPr>
      </xdr:nvPicPr>
      <xdr:blipFill>
        <a:blip xmlns:r="http://schemas.openxmlformats.org/officeDocument/2006/relationships" r:embed="rId4"/>
        <a:stretch>
          <a:fillRect/>
        </a:stretch>
      </xdr:blipFill>
      <xdr:spPr>
        <a:xfrm>
          <a:off x="146050" y="8578850"/>
          <a:ext cx="9516876" cy="1539307"/>
        </a:xfrm>
        <a:prstGeom prst="rect">
          <a:avLst/>
        </a:prstGeom>
      </xdr:spPr>
    </xdr:pic>
    <xdr:clientData/>
  </xdr:twoCellAnchor>
  <xdr:twoCellAnchor editAs="oneCell">
    <xdr:from>
      <xdr:col>0</xdr:col>
      <xdr:colOff>266700</xdr:colOff>
      <xdr:row>56</xdr:row>
      <xdr:rowOff>158751</xdr:rowOff>
    </xdr:from>
    <xdr:to>
      <xdr:col>13</xdr:col>
      <xdr:colOff>468140</xdr:colOff>
      <xdr:row>72</xdr:row>
      <xdr:rowOff>101504</xdr:rowOff>
    </xdr:to>
    <xdr:pic>
      <xdr:nvPicPr>
        <xdr:cNvPr id="6" name="图片 5">
          <a:extLst>
            <a:ext uri="{FF2B5EF4-FFF2-40B4-BE49-F238E27FC236}">
              <a16:creationId xmlns:a16="http://schemas.microsoft.com/office/drawing/2014/main" id="{CB4C80AD-2743-41C8-BCF5-6FEC4969AE89}"/>
            </a:ext>
          </a:extLst>
        </xdr:cNvPr>
        <xdr:cNvPicPr>
          <a:picLocks noChangeAspect="1"/>
        </xdr:cNvPicPr>
      </xdr:nvPicPr>
      <xdr:blipFill>
        <a:blip xmlns:r="http://schemas.openxmlformats.org/officeDocument/2006/relationships" r:embed="rId5"/>
        <a:stretch>
          <a:fillRect/>
        </a:stretch>
      </xdr:blipFill>
      <xdr:spPr>
        <a:xfrm>
          <a:off x="266700" y="10115551"/>
          <a:ext cx="8126240" cy="2787553"/>
        </a:xfrm>
        <a:prstGeom prst="rect">
          <a:avLst/>
        </a:prstGeom>
      </xdr:spPr>
    </xdr:pic>
    <xdr:clientData/>
  </xdr:twoCellAnchor>
  <xdr:twoCellAnchor editAs="oneCell">
    <xdr:from>
      <xdr:col>0</xdr:col>
      <xdr:colOff>241300</xdr:colOff>
      <xdr:row>96</xdr:row>
      <xdr:rowOff>165100</xdr:rowOff>
    </xdr:from>
    <xdr:to>
      <xdr:col>15</xdr:col>
      <xdr:colOff>29788</xdr:colOff>
      <xdr:row>115</xdr:row>
      <xdr:rowOff>152844</xdr:rowOff>
    </xdr:to>
    <xdr:pic>
      <xdr:nvPicPr>
        <xdr:cNvPr id="8" name="图片 7">
          <a:extLst>
            <a:ext uri="{FF2B5EF4-FFF2-40B4-BE49-F238E27FC236}">
              <a16:creationId xmlns:a16="http://schemas.microsoft.com/office/drawing/2014/main" id="{C2CC293C-FD75-4E90-97A4-AE779FDF1A5C}"/>
            </a:ext>
          </a:extLst>
        </xdr:cNvPr>
        <xdr:cNvPicPr>
          <a:picLocks noChangeAspect="1"/>
        </xdr:cNvPicPr>
      </xdr:nvPicPr>
      <xdr:blipFill>
        <a:blip xmlns:r="http://schemas.openxmlformats.org/officeDocument/2006/relationships" r:embed="rId6"/>
        <a:stretch>
          <a:fillRect/>
        </a:stretch>
      </xdr:blipFill>
      <xdr:spPr>
        <a:xfrm>
          <a:off x="241300" y="17233900"/>
          <a:ext cx="8932488" cy="3365944"/>
        </a:xfrm>
        <a:prstGeom prst="rect">
          <a:avLst/>
        </a:prstGeom>
      </xdr:spPr>
    </xdr:pic>
    <xdr:clientData/>
  </xdr:twoCellAnchor>
  <xdr:twoCellAnchor editAs="oneCell">
    <xdr:from>
      <xdr:col>0</xdr:col>
      <xdr:colOff>257724</xdr:colOff>
      <xdr:row>72</xdr:row>
      <xdr:rowOff>114301</xdr:rowOff>
    </xdr:from>
    <xdr:to>
      <xdr:col>10</xdr:col>
      <xdr:colOff>336550</xdr:colOff>
      <xdr:row>96</xdr:row>
      <xdr:rowOff>173523</xdr:rowOff>
    </xdr:to>
    <xdr:pic>
      <xdr:nvPicPr>
        <xdr:cNvPr id="9" name="图片 8">
          <a:extLst>
            <a:ext uri="{FF2B5EF4-FFF2-40B4-BE49-F238E27FC236}">
              <a16:creationId xmlns:a16="http://schemas.microsoft.com/office/drawing/2014/main" id="{FAE25DDD-4751-43CD-9679-94ABE51AAC3B}"/>
            </a:ext>
          </a:extLst>
        </xdr:cNvPr>
        <xdr:cNvPicPr>
          <a:picLocks noChangeAspect="1"/>
        </xdr:cNvPicPr>
      </xdr:nvPicPr>
      <xdr:blipFill>
        <a:blip xmlns:r="http://schemas.openxmlformats.org/officeDocument/2006/relationships" r:embed="rId7"/>
        <a:stretch>
          <a:fillRect/>
        </a:stretch>
      </xdr:blipFill>
      <xdr:spPr>
        <a:xfrm>
          <a:off x="257724" y="12915901"/>
          <a:ext cx="6174826" cy="432642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583" customWidth="1"/>
    <col min="2" max="2" width="81" style="1600" customWidth="1"/>
    <col min="3" max="16384" width="9" style="1598"/>
  </cols>
  <sheetData>
    <row r="1" spans="1:2" s="1586" customFormat="1" ht="16" thickBot="1">
      <c r="A1" s="1585" t="s">
        <v>1214</v>
      </c>
      <c r="B1" s="1584" t="s">
        <v>1293</v>
      </c>
    </row>
    <row r="2" spans="1:2" s="1589" customFormat="1" ht="15.5" thickTop="1">
      <c r="A2" s="1587" t="s">
        <v>1215</v>
      </c>
      <c r="B2" s="1588" t="str">
        <f>'预评函-封皮'!B37:I37</f>
        <v>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5" thickBot="1">
      <c r="A5" s="1593" t="s">
        <v>1218</v>
      </c>
      <c r="B5" s="1594" t="str">
        <f>'预评函-封皮'!B49</f>
        <v>康正预评字号</v>
      </c>
    </row>
    <row r="6" spans="1:2" s="1589" customFormat="1" ht="15.5" thickTop="1">
      <c r="A6" s="1587" t="s">
        <v>1219</v>
      </c>
      <c r="B6" s="1588" t="str">
        <f>'预评函-1'!A4</f>
        <v>受贵公司委托，我公司对出让国有建设用地使用权及在建建筑物房地产抵押价值进行了预评估。</v>
      </c>
    </row>
    <row r="7" spans="1:2" s="1592" customFormat="1">
      <c r="A7" s="1590" t="s">
        <v>1259</v>
      </c>
      <c r="B7" s="1591" t="str">
        <f>'预评函-1'!A7</f>
        <v>估价对象为出让国有建设用地使用权及在建建筑物房地产，为所有。根据《国有土地使用证》[]，估价对象（分摊）出让国有建设用地使用权面积为29206.66平方米，建筑面积为127439.59平方米。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出让国有建设用地使用权及在建建筑物房地产,属开发建设的居住项目，该项目尚在开发建设中。根据《国有土地使用证》[]，估价对象（分摊）出让国有建设用地使用权面积为29206.66平方米，规划建筑面积为127439.59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2020年2月18日</v>
      </c>
    </row>
    <row r="13" spans="1:2" s="1592" customFormat="1">
      <c r="A13" s="1590" t="s">
        <v>1222</v>
      </c>
      <c r="B13" s="1591" t="str">
        <f>'预评函-1'!A18</f>
        <v>本次估价的“房地产价值”是指在正常市场情况下，在价值时点2020年2月18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5" thickBot="1">
      <c r="A18" s="1593" t="s">
        <v>1227</v>
      </c>
      <c r="B18" s="1594" t="str">
        <f>'预评函-1'!A24</f>
        <v>本次评估采用的主估价方法为成本法和假设开发法。</v>
      </c>
    </row>
    <row r="19" spans="1:2" s="1589" customFormat="1" ht="15.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182092</v>
      </c>
    </row>
    <row r="21" spans="1:2" s="1592" customFormat="1">
      <c r="A21" s="1590" t="s">
        <v>1230</v>
      </c>
      <c r="B21" s="1591">
        <f ca="1">'预评函-2'!D7</f>
        <v>14288</v>
      </c>
    </row>
    <row r="22" spans="1:2" s="1592" customFormat="1">
      <c r="A22" s="1590" t="s">
        <v>1231</v>
      </c>
      <c r="B22" s="1591" t="str">
        <f ca="1">'预评函-2'!D6</f>
        <v>壹拾捌亿贰仟零玖拾贰万元整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182092</v>
      </c>
    </row>
    <row r="31" spans="1:2" s="1592" customFormat="1">
      <c r="A31" s="1590" t="s">
        <v>1269</v>
      </c>
      <c r="B31" s="1591">
        <f ca="1">'预评函-2'!D15</f>
        <v>14288</v>
      </c>
    </row>
    <row r="32" spans="1:2" s="1592" customFormat="1">
      <c r="A32" s="1590" t="s">
        <v>1236</v>
      </c>
      <c r="B32" s="1591" t="str">
        <f ca="1">'预评函-2'!D14</f>
        <v>壹拾捌亿贰仟零玖拾贰万元整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4.抵押净值</v>
      </c>
    </row>
    <row r="38" spans="1:2" s="1592" customFormat="1">
      <c r="A38" s="1590" t="s">
        <v>1290</v>
      </c>
      <c r="B38" s="1591">
        <f ca="1">'预评函-2'!D19</f>
        <v>140820</v>
      </c>
    </row>
    <row r="39" spans="1:2" s="1592" customFormat="1">
      <c r="A39" s="1590" t="s">
        <v>1238</v>
      </c>
      <c r="B39" s="1591">
        <f ca="1">'预评函-2'!D21</f>
        <v>11050</v>
      </c>
    </row>
    <row r="40" spans="1:2" s="1592" customFormat="1">
      <c r="A40" s="1590" t="s">
        <v>1239</v>
      </c>
      <c r="B40" s="1591" t="str">
        <f ca="1">'预评函-2'!D20</f>
        <v>壹拾肆亿零捌佰贰拾万元整</v>
      </c>
    </row>
    <row r="41" spans="1:2" s="1592" customFormat="1">
      <c r="A41" s="1590" t="s">
        <v>1285</v>
      </c>
      <c r="B41" s="1591" t="str">
        <f>'预评函-3'!A4</f>
        <v>出让国有建设用地使用权及在建建筑物房地产</v>
      </c>
    </row>
    <row r="42" spans="1:2" s="1592" customFormat="1" ht="30">
      <c r="A42" s="1590" t="s">
        <v>1283</v>
      </c>
      <c r="B42" s="1591" t="str">
        <f>'预评函-3'!B2</f>
        <v>建筑面积</v>
      </c>
    </row>
    <row r="43" spans="1:2" s="1592" customFormat="1">
      <c r="A43" s="1590" t="s">
        <v>1284</v>
      </c>
      <c r="B43" s="1591">
        <f>'预评函-3'!B4</f>
        <v>127439.59000000001</v>
      </c>
    </row>
    <row r="44" spans="1:2" s="1592" customFormat="1" ht="30">
      <c r="A44" s="1590" t="s">
        <v>1268</v>
      </c>
      <c r="B44" s="1591" t="str">
        <f>'预评函-3'!C2</f>
        <v>(分摊)土地面积</v>
      </c>
    </row>
    <row r="45" spans="1:2" s="1592" customFormat="1">
      <c r="A45" s="1590" t="s">
        <v>1240</v>
      </c>
      <c r="B45" s="1591">
        <f>'预评函-3'!C4</f>
        <v>29206.66</v>
      </c>
    </row>
    <row r="46" spans="1:2" s="1592" customFormat="1">
      <c r="A46" s="1590" t="s">
        <v>1266</v>
      </c>
      <c r="B46" s="1591" t="str">
        <f>'预评函-3'!D2</f>
        <v>出让国有建设用地使用权价值</v>
      </c>
    </row>
    <row r="47" spans="1:2" s="1592" customFormat="1">
      <c r="A47" s="1590" t="s">
        <v>1241</v>
      </c>
      <c r="B47" s="1591">
        <f ca="1">'预评函-3'!D4</f>
        <v>107434</v>
      </c>
    </row>
    <row r="48" spans="1:2" s="1592" customFormat="1">
      <c r="A48" s="1590" t="s">
        <v>1242</v>
      </c>
      <c r="B48" s="1591">
        <f ca="1">'预评函-3'!E4</f>
        <v>8430</v>
      </c>
    </row>
    <row r="49" spans="1:2" s="1592" customFormat="1">
      <c r="A49" s="1590" t="s">
        <v>1243</v>
      </c>
      <c r="B49" s="1591" t="str">
        <f ca="1">'预评函-3'!D5</f>
        <v>壹拾亿柒仟肆佰叁拾肆万元整</v>
      </c>
    </row>
    <row r="50" spans="1:2" s="1592" customFormat="1">
      <c r="A50" s="1590" t="s">
        <v>1267</v>
      </c>
      <c r="B50" s="1591" t="str">
        <f>'预评函-3'!F2</f>
        <v>在建建筑物价值</v>
      </c>
    </row>
    <row r="51" spans="1:2" s="1592" customFormat="1">
      <c r="A51" s="1590" t="s">
        <v>1244</v>
      </c>
      <c r="B51" s="1591">
        <f ca="1">'预评函-3'!F4</f>
        <v>74658</v>
      </c>
    </row>
    <row r="52" spans="1:2" s="1592" customFormat="1">
      <c r="A52" s="1590" t="s">
        <v>1245</v>
      </c>
      <c r="B52" s="1591">
        <f ca="1">'预评函-3'!G4</f>
        <v>5858</v>
      </c>
    </row>
    <row r="53" spans="1:2" s="1592" customFormat="1">
      <c r="A53" s="1590" t="s">
        <v>1273</v>
      </c>
      <c r="B53" s="1591" t="str">
        <f ca="1">'预评函-3'!F5</f>
        <v>柒亿肆仟陆佰伍拾捌万元整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抵押净值</v>
      </c>
    </row>
    <row r="57" spans="1:2" s="1586" customFormat="1" ht="15.5" thickBot="1">
      <c r="A57" s="1593" t="s">
        <v>1292</v>
      </c>
      <c r="B57" s="1594" t="str">
        <f>'预评函-3'!A6</f>
        <v>估价师知悉的法定优先受偿款</v>
      </c>
    </row>
    <row r="58" spans="1:2" s="1589" customFormat="1" ht="15.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5" thickBot="1">
      <c r="A69" s="1593" t="s">
        <v>1254</v>
      </c>
      <c r="B69" s="1595">
        <f>'预评函-4'!C31</f>
        <v>42551</v>
      </c>
    </row>
    <row r="70" spans="1:2" ht="15.5" thickTop="1">
      <c r="A70" s="1596" t="s">
        <v>1255</v>
      </c>
      <c r="B70" s="1597">
        <f>'预评函-4'!A4</f>
        <v>0</v>
      </c>
    </row>
    <row r="71" spans="1:2">
      <c r="A71" s="1590" t="s">
        <v>1256</v>
      </c>
      <c r="B71" s="1591">
        <f>'预评函-4'!B4</f>
        <v>0</v>
      </c>
    </row>
    <row r="72" spans="1:2">
      <c r="A72" s="1590" t="s">
        <v>1257</v>
      </c>
      <c r="B72" s="1599">
        <f>'预评函-4'!A5</f>
        <v>0</v>
      </c>
    </row>
    <row r="73" spans="1:2" s="1586" customFormat="1" ht="15.5" thickBot="1">
      <c r="A73" s="1593" t="s">
        <v>1258</v>
      </c>
      <c r="B73" s="1594">
        <f>'预评函-4'!B5</f>
        <v>0</v>
      </c>
    </row>
    <row r="74" spans="1:2" ht="15.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0" workbookViewId="0">
      <selection activeCell="C19" sqref="C19"/>
    </sheetView>
  </sheetViews>
  <sheetFormatPr defaultColWidth="9" defaultRowHeight="14"/>
  <cols>
    <col min="1" max="1" width="13.453125" style="2022" customWidth="1"/>
    <col min="2" max="2" width="23.1796875" style="1973" customWidth="1"/>
    <col min="3" max="3" width="13" style="2017" customWidth="1"/>
    <col min="4" max="4" width="5.81640625" style="2014" customWidth="1"/>
    <col min="5" max="5" width="7.08984375" style="2014" customWidth="1"/>
    <col min="6" max="6" width="10.6328125" style="2014" customWidth="1"/>
    <col min="7" max="7" width="7.453125" style="2014" customWidth="1"/>
    <col min="8" max="8" width="9" style="2017" customWidth="1"/>
    <col min="9" max="9" width="11.6328125" style="2017" customWidth="1"/>
    <col min="10" max="10" width="9" style="2017" customWidth="1"/>
    <col min="11" max="19" width="9" style="2014" customWidth="1"/>
    <col min="20" max="23" width="9" style="2017" customWidth="1"/>
    <col min="24" max="24" width="21.08984375" style="1973" customWidth="1"/>
    <col min="25" max="16384" width="9" style="1973"/>
  </cols>
  <sheetData>
    <row r="1" spans="1:23" s="2011" customFormat="1" ht="28">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4724</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4620</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23"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3"/>
      <c r="B54" s="2020" t="s">
        <v>860</v>
      </c>
      <c r="C54" s="2017" t="s">
        <v>1276</v>
      </c>
    </row>
    <row r="55" spans="1:4">
      <c r="A55" s="3023"/>
      <c r="B55" s="2020" t="s">
        <v>861</v>
      </c>
      <c r="C55" s="2017" t="s">
        <v>1277</v>
      </c>
    </row>
    <row r="56" spans="1:4">
      <c r="A56" s="3023"/>
      <c r="B56" s="2020" t="s">
        <v>862</v>
      </c>
      <c r="C56" s="2017" t="s">
        <v>1281</v>
      </c>
    </row>
    <row r="57" spans="1:4">
      <c r="A57" s="3023"/>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Normal="100" zoomScaleSheetLayoutView="100" workbookViewId="0">
      <selection activeCell="G8" sqref="G8"/>
    </sheetView>
  </sheetViews>
  <sheetFormatPr defaultColWidth="10" defaultRowHeight="18" customHeight="1"/>
  <cols>
    <col min="1" max="1" width="14.90625" style="2030" customWidth="1"/>
    <col min="2" max="2" width="10" style="2030" customWidth="1"/>
    <col min="3" max="3" width="11.453125" style="2030" customWidth="1"/>
    <col min="4" max="4" width="11.1796875" style="2030" customWidth="1"/>
    <col min="5" max="6" width="10" style="2030" customWidth="1"/>
    <col min="7" max="7" width="10.81640625" style="2030" customWidth="1"/>
    <col min="8" max="8" width="10" style="2030" customWidth="1"/>
    <col min="9" max="9" width="11.0898437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32" t="str">
        <f>IF(B10="北京市","北京市",C10)&amp;F10&amp;IF(结果表!G1="在建","出让国有建设用地使用权及在建建筑物",IF(结果表!G1="土地","出让国有建设用地使用权",))&amp;B9&amp;"预评估"</f>
        <v>出让国有建设用地使用权及在建建筑物房地产抵押价值预评估</v>
      </c>
      <c r="C1" s="3033"/>
      <c r="D1" s="3033"/>
      <c r="E1" s="3033"/>
      <c r="F1" s="3033"/>
      <c r="G1" s="3033"/>
      <c r="H1" s="3033"/>
      <c r="I1" s="303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3" t="s">
        <v>1772</v>
      </c>
      <c r="B3" s="2034"/>
      <c r="C3" s="2035" t="s">
        <v>1773</v>
      </c>
      <c r="D3" s="2034">
        <v>43879</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3052</v>
      </c>
      <c r="C8" s="2054"/>
      <c r="D8" s="3035" t="s">
        <v>1779</v>
      </c>
      <c r="E8" s="2055" t="s">
        <v>3053</v>
      </c>
      <c r="F8" s="2056"/>
      <c r="G8" s="2024"/>
      <c r="H8" s="2024"/>
      <c r="I8" s="2024"/>
      <c r="J8" s="2040"/>
      <c r="K8" s="2041"/>
      <c r="L8" s="2026"/>
      <c r="M8" s="2026"/>
      <c r="N8" s="2027"/>
      <c r="O8" s="2028"/>
      <c r="P8" s="2027"/>
      <c r="Q8" s="2027"/>
      <c r="R8" s="2027"/>
    </row>
    <row r="9" spans="1:19" ht="18" customHeight="1" thickBot="1">
      <c r="A9" s="2038" t="s">
        <v>1780</v>
      </c>
      <c r="B9" s="2057" t="s">
        <v>3053</v>
      </c>
      <c r="C9" s="2058"/>
      <c r="D9" s="3036"/>
      <c r="E9" s="2057" t="s">
        <v>1280</v>
      </c>
      <c r="F9" s="2059"/>
      <c r="G9" s="2060"/>
      <c r="H9" s="2060"/>
      <c r="I9" s="2060"/>
      <c r="J9" s="2040"/>
      <c r="K9" s="2052"/>
      <c r="L9" s="2026"/>
      <c r="M9" s="2026"/>
      <c r="N9" s="2027"/>
      <c r="O9" s="2028"/>
      <c r="P9" s="2027"/>
      <c r="Q9" s="2027"/>
      <c r="R9" s="2027"/>
    </row>
    <row r="10" spans="1:19" ht="18" customHeight="1" thickTop="1">
      <c r="A10" s="2061" t="s">
        <v>1781</v>
      </c>
      <c r="B10" s="2062" t="s">
        <v>3054</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3055</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v>63460</v>
      </c>
      <c r="E13" s="2078">
        <v>52502</v>
      </c>
      <c r="F13" s="2078">
        <f>E13</f>
        <v>52502</v>
      </c>
      <c r="G13" s="2078"/>
      <c r="H13" s="2078"/>
      <c r="I13" s="1047"/>
      <c r="J13" s="2040"/>
      <c r="K13" s="2052"/>
      <c r="L13" s="2026"/>
      <c r="M13" s="2026"/>
      <c r="N13" s="2027"/>
      <c r="O13" s="2028"/>
      <c r="P13" s="2027"/>
      <c r="Q13" s="2027"/>
      <c r="R13" s="2027"/>
    </row>
    <row r="14" spans="1:19" ht="18" customHeight="1">
      <c r="A14" s="2075"/>
      <c r="B14" s="2076"/>
      <c r="C14" s="2077" t="s">
        <v>1793</v>
      </c>
      <c r="D14" s="1050">
        <v>70</v>
      </c>
      <c r="E14" s="1050">
        <v>40</v>
      </c>
      <c r="F14" s="1050">
        <v>40</v>
      </c>
      <c r="G14" s="1050"/>
      <c r="H14" s="1050"/>
      <c r="I14" s="1050"/>
      <c r="J14" s="2040"/>
      <c r="K14" s="2079"/>
      <c r="L14" s="2026"/>
      <c r="M14" s="2026"/>
      <c r="N14" s="2027"/>
      <c r="O14" s="2028"/>
      <c r="P14" s="2027"/>
      <c r="Q14" s="2027"/>
      <c r="R14" s="2027"/>
    </row>
    <row r="15" spans="1:19" ht="18" customHeight="1">
      <c r="A15" s="2061"/>
      <c r="B15" s="2080"/>
      <c r="C15" s="2077" t="s">
        <v>1794</v>
      </c>
      <c r="D15" s="1049">
        <f>IF(B12="出让",IF(D13="","",ROUNDDOWN(MIN((D13-$D$3)/365,D14),2)),D14)</f>
        <v>53.64</v>
      </c>
      <c r="E15" s="1049">
        <f>IF(B12="出让",IF(E13="","",ROUNDDOWN(MIN((E13-$D$3)/365,E14),2)),E14)</f>
        <v>23.62</v>
      </c>
      <c r="F15" s="1049">
        <f>IF(B12="出让",IF(F13="","",ROUNDDOWN(MIN((F13-$D$3)/365,F14),2)),F14)</f>
        <v>23.62</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42"/>
      <c r="C16" s="3043"/>
      <c r="D16" s="3044"/>
      <c r="E16" s="2084" t="s">
        <v>1796</v>
      </c>
      <c r="F16" s="3045"/>
      <c r="G16" s="3046"/>
      <c r="H16" s="3046"/>
      <c r="I16" s="3047"/>
      <c r="J16" s="2027"/>
      <c r="K16" s="2081"/>
      <c r="L16" s="2082"/>
      <c r="M16" s="2082"/>
      <c r="N16" s="2083"/>
      <c r="O16" s="2082"/>
      <c r="P16" s="2083"/>
      <c r="Q16" s="2027"/>
      <c r="R16" s="2027"/>
    </row>
    <row r="17" spans="1:22" ht="18" customHeight="1">
      <c r="A17" s="2085" t="s">
        <v>1797</v>
      </c>
      <c r="B17" s="2033" t="s">
        <v>1798</v>
      </c>
      <c r="C17" s="1054">
        <f>'数据-汇总表'!E3</f>
        <v>127439.59000000001</v>
      </c>
      <c r="D17" s="2086" t="s">
        <v>1799</v>
      </c>
      <c r="E17" s="3048" t="s">
        <v>1800</v>
      </c>
      <c r="F17" s="3049"/>
      <c r="G17" s="3049"/>
      <c r="H17" s="3049"/>
      <c r="I17" s="3050"/>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4">
        <f>'数据-汇总表'!D3</f>
        <v>29206.66</v>
      </c>
      <c r="D18" s="2089" t="s">
        <v>1799</v>
      </c>
      <c r="E18" s="3051" t="s">
        <v>1803</v>
      </c>
      <c r="F18" s="3052"/>
      <c r="G18" s="3052"/>
      <c r="H18" s="3052"/>
      <c r="I18" s="3053"/>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38" t="s">
        <v>1808</v>
      </c>
      <c r="C20" s="3039"/>
      <c r="D20" s="3040" t="s">
        <v>1809</v>
      </c>
      <c r="E20" s="3041"/>
      <c r="F20" s="2096" t="s">
        <v>1810</v>
      </c>
      <c r="G20" s="2040"/>
      <c r="H20" s="2040"/>
      <c r="I20" s="2040"/>
      <c r="J20" s="2040"/>
      <c r="K20" s="3037"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3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25" t="s">
        <v>1823</v>
      </c>
      <c r="B27" s="2061" t="s">
        <v>1824</v>
      </c>
      <c r="C27" s="2118" t="s">
        <v>3056</v>
      </c>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25"/>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25"/>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26"/>
      <c r="B30" s="2033" t="s">
        <v>1827</v>
      </c>
      <c r="C30" s="3027"/>
      <c r="D30" s="3028"/>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29"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30"/>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30"/>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t="s">
        <v>3057</v>
      </c>
      <c r="C34" s="2132" t="s">
        <v>3058</v>
      </c>
      <c r="D34" s="2132" t="s">
        <v>3059</v>
      </c>
      <c r="E34" s="2132" t="s">
        <v>3060</v>
      </c>
      <c r="F34" s="2132" t="s">
        <v>3061</v>
      </c>
      <c r="G34" s="2132" t="s">
        <v>3062</v>
      </c>
      <c r="H34" s="2132" t="s">
        <v>70</v>
      </c>
      <c r="I34" s="2040"/>
      <c r="J34" s="2040"/>
      <c r="K34" s="1794">
        <f>COUNTIF(B34:H34,"——")</f>
        <v>1</v>
      </c>
      <c r="L34" s="2073" t="s">
        <v>1830</v>
      </c>
      <c r="M34" s="2073" t="s">
        <v>1831</v>
      </c>
      <c r="N34" s="2073" t="s">
        <v>1832</v>
      </c>
      <c r="O34" s="2073" t="s">
        <v>1833</v>
      </c>
      <c r="P34" s="2073" t="s">
        <v>1834</v>
      </c>
      <c r="Q34" s="2073" t="s">
        <v>1835</v>
      </c>
      <c r="R34" s="2073" t="s">
        <v>1836</v>
      </c>
      <c r="S34" s="3024" t="s">
        <v>1837</v>
      </c>
      <c r="T34" s="2133" t="str">
        <f>NUMBERSTRING(7-K34,1)&amp;"通"</f>
        <v>六通</v>
      </c>
      <c r="U34" s="2027"/>
      <c r="V34" s="2027"/>
    </row>
    <row r="35" spans="1:22" ht="18" customHeight="1">
      <c r="A35" s="2134"/>
      <c r="B35" s="3031" t="s">
        <v>1838</v>
      </c>
      <c r="C35" s="3031"/>
      <c r="D35" s="3031"/>
      <c r="E35" s="3031"/>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4"/>
      <c r="T35" s="48" t="str">
        <f>IF(T34="一通",L35,IF(T34="二通",M35,IF(T34="三通",N35,IF(T34="四通",O35,IF(T34="五通",P35,IF(T34="六通",Q35,R35))))))</f>
        <v>通路、通电、通讯、通上水、通下水、燃气</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D15" sqref="AD15"/>
    </sheetView>
  </sheetViews>
  <sheetFormatPr defaultColWidth="8.90625" defaultRowHeight="14"/>
  <cols>
    <col min="1" max="1" width="10.6328125" style="2158" customWidth="1"/>
    <col min="2" max="2" width="11" style="2158" customWidth="1"/>
    <col min="3" max="3" width="10.36328125" style="2158" customWidth="1"/>
    <col min="4" max="4" width="9.08984375" style="2158" customWidth="1"/>
    <col min="5" max="6" width="10" style="2221" customWidth="1"/>
    <col min="7" max="8" width="10" style="2158" customWidth="1"/>
    <col min="9" max="9" width="10.6328125" style="2158" customWidth="1"/>
    <col min="10" max="10" width="9.453125" style="2158" customWidth="1"/>
    <col min="11" max="11" width="11" style="2158" customWidth="1"/>
    <col min="12" max="14" width="9.453125" style="2158" customWidth="1"/>
    <col min="15" max="15" width="9.90625" style="2158" customWidth="1"/>
    <col min="16" max="16" width="9.81640625" style="2158" customWidth="1"/>
    <col min="17" max="17" width="9.36328125" style="2158" customWidth="1"/>
    <col min="18" max="18" width="10" style="2158" bestFit="1" customWidth="1"/>
    <col min="19" max="19" width="10.36328125" style="2158" customWidth="1"/>
    <col min="20" max="20" width="10" style="2158" bestFit="1" customWidth="1"/>
    <col min="21" max="21" width="5.36328125" style="2158" hidden="1" customWidth="1"/>
    <col min="22" max="22" width="6.7265625" style="2158" hidden="1" customWidth="1"/>
    <col min="23" max="23" width="5.36328125" style="2158" hidden="1" customWidth="1"/>
    <col min="24" max="24" width="6.7265625" style="2158" hidden="1" customWidth="1"/>
    <col min="25" max="25" width="5.36328125" style="2158" hidden="1" customWidth="1"/>
    <col min="26" max="26" width="6.7265625" style="2158" hidden="1" customWidth="1"/>
    <col min="27" max="27" width="5.36328125" style="2158" hidden="1" customWidth="1"/>
    <col min="28" max="28" width="6.7265625" style="2158" hidden="1" customWidth="1"/>
    <col min="29" max="29" width="11" style="2158" bestFit="1" customWidth="1"/>
    <col min="30" max="30" width="10" style="2158" bestFit="1" customWidth="1"/>
    <col min="31" max="31" width="9.81640625" style="2158" customWidth="1"/>
    <col min="32" max="46" width="9.453125" style="2158" customWidth="1"/>
    <col min="47" max="47" width="18.08984375" style="2158" customWidth="1"/>
    <col min="48" max="50" width="9.81640625" style="2158" customWidth="1"/>
    <col min="51" max="55" width="10.453125" style="2158" bestFit="1" customWidth="1"/>
    <col min="56" max="56" width="9.453125" style="2158" bestFit="1" customWidth="1"/>
    <col min="57" max="63" width="9.08984375" style="2158" bestFit="1" customWidth="1"/>
    <col min="64" max="64" width="9.453125" style="2158" bestFit="1" customWidth="1"/>
    <col min="65" max="65" width="9.08984375" style="2158" bestFit="1" customWidth="1"/>
    <col min="66" max="66" width="9.453125" style="2158" bestFit="1" customWidth="1"/>
    <col min="67" max="69" width="9.08984375" style="2158" bestFit="1" customWidth="1"/>
    <col min="70" max="70" width="9.453125" style="2158" bestFit="1" customWidth="1"/>
    <col min="71" max="71" width="9" style="2158" customWidth="1"/>
    <col min="72" max="72" width="9.08984375" style="2158" bestFit="1" customWidth="1"/>
    <col min="73" max="16384" width="8.90625" style="2158"/>
  </cols>
  <sheetData>
    <row r="1" spans="1:72" ht="21">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6">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5">
      <c r="A3" s="13">
        <v>86105.96</v>
      </c>
      <c r="B3" s="14">
        <f>IF(C3="否",G5-AT5,G5)</f>
        <v>375712.51999999984</v>
      </c>
      <c r="C3" s="2167" t="s">
        <v>3063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
      <c r="A5" s="15" t="s">
        <v>1873</v>
      </c>
      <c r="B5" s="1802"/>
      <c r="C5" s="1802"/>
      <c r="D5" s="1805"/>
      <c r="E5" s="16" t="s">
        <v>1</v>
      </c>
      <c r="F5" s="16">
        <f>SUM(F13:F587)</f>
        <v>0</v>
      </c>
      <c r="G5" s="16">
        <f>SUM(G13:G587)</f>
        <v>375712.51999999984</v>
      </c>
      <c r="H5" s="16">
        <f t="shared" ref="H5:AT5" si="0">SUM(H13:H656)</f>
        <v>333153.74</v>
      </c>
      <c r="I5" s="16">
        <f t="shared" si="0"/>
        <v>150760.31</v>
      </c>
      <c r="J5" s="16">
        <f t="shared" si="0"/>
        <v>76796.16999999994</v>
      </c>
      <c r="K5" s="16">
        <f t="shared" si="0"/>
        <v>19028.510000000002</v>
      </c>
      <c r="L5" s="16">
        <f t="shared" si="0"/>
        <v>11031.410000000002</v>
      </c>
      <c r="M5" s="16">
        <f t="shared" si="0"/>
        <v>11505.89</v>
      </c>
      <c r="N5" s="16">
        <f t="shared" si="0"/>
        <v>0</v>
      </c>
      <c r="O5" s="16">
        <f t="shared" si="0"/>
        <v>67174.680000000008</v>
      </c>
      <c r="P5" s="16">
        <f t="shared" si="0"/>
        <v>0</v>
      </c>
      <c r="Q5" s="16">
        <f t="shared" si="0"/>
        <v>0</v>
      </c>
      <c r="R5" s="16">
        <f t="shared" si="0"/>
        <v>0</v>
      </c>
      <c r="S5" s="16">
        <f t="shared" si="0"/>
        <v>84684.349999999991</v>
      </c>
      <c r="T5" s="16">
        <f t="shared" si="0"/>
        <v>39206.000000000029</v>
      </c>
      <c r="U5" s="16">
        <f t="shared" si="0"/>
        <v>0</v>
      </c>
      <c r="V5" s="16">
        <f t="shared" si="0"/>
        <v>0</v>
      </c>
      <c r="W5" s="16">
        <f t="shared" si="0"/>
        <v>0</v>
      </c>
      <c r="X5" s="16">
        <f t="shared" si="0"/>
        <v>0</v>
      </c>
      <c r="Y5" s="16">
        <f t="shared" si="0"/>
        <v>0</v>
      </c>
      <c r="Z5" s="16">
        <f t="shared" si="0"/>
        <v>0</v>
      </c>
      <c r="AA5" s="16">
        <f t="shared" si="0"/>
        <v>0</v>
      </c>
      <c r="AB5" s="16">
        <f t="shared" si="0"/>
        <v>0</v>
      </c>
      <c r="AC5" s="16">
        <f t="shared" si="0"/>
        <v>9607.73</v>
      </c>
      <c r="AD5" s="16">
        <f t="shared" si="0"/>
        <v>3127.51</v>
      </c>
      <c r="AE5" s="16">
        <f t="shared" si="0"/>
        <v>0</v>
      </c>
      <c r="AF5" s="16">
        <f t="shared" si="0"/>
        <v>0</v>
      </c>
      <c r="AG5" s="16">
        <f t="shared" si="0"/>
        <v>0</v>
      </c>
      <c r="AH5" s="16">
        <f t="shared" si="0"/>
        <v>499.77000000000004</v>
      </c>
      <c r="AI5" s="16">
        <f t="shared" si="0"/>
        <v>0</v>
      </c>
      <c r="AJ5" s="16">
        <f t="shared" si="0"/>
        <v>0</v>
      </c>
      <c r="AK5" s="16">
        <f t="shared" si="0"/>
        <v>0</v>
      </c>
      <c r="AL5" s="16">
        <f t="shared" si="0"/>
        <v>5980.4500000000007</v>
      </c>
      <c r="AM5" s="16">
        <f t="shared" si="0"/>
        <v>0</v>
      </c>
      <c r="AN5" s="16">
        <f t="shared" si="0"/>
        <v>0</v>
      </c>
      <c r="AO5" s="16">
        <f t="shared" si="0"/>
        <v>0</v>
      </c>
      <c r="AP5" s="16">
        <f t="shared" si="0"/>
        <v>0</v>
      </c>
      <c r="AQ5" s="16">
        <f t="shared" si="0"/>
        <v>0</v>
      </c>
      <c r="AR5" s="16">
        <f t="shared" si="0"/>
        <v>0</v>
      </c>
      <c r="AS5" s="16">
        <f t="shared" si="0"/>
        <v>0</v>
      </c>
      <c r="AT5" s="16">
        <f t="shared" si="0"/>
        <v>32951.050000000003</v>
      </c>
      <c r="AU5" s="1801"/>
      <c r="AV5" s="15" t="s">
        <v>1873</v>
      </c>
      <c r="AW5" s="1802"/>
      <c r="AX5" s="1802"/>
      <c r="AY5" s="17" t="s">
        <v>3</v>
      </c>
      <c r="AZ5" s="18">
        <f t="shared" ref="AZ5:BT5" si="1">SUM(AZ13:AZ656)</f>
        <v>127439.59000000001</v>
      </c>
      <c r="BA5" s="18">
        <f t="shared" si="1"/>
        <v>127439.59000000001</v>
      </c>
      <c r="BB5" s="18">
        <f t="shared" si="1"/>
        <v>73964.140000000043</v>
      </c>
      <c r="BC5" s="18">
        <f t="shared" si="1"/>
        <v>7997.0999999999985</v>
      </c>
      <c r="BD5" s="18">
        <f t="shared" si="1"/>
        <v>0</v>
      </c>
      <c r="BE5" s="18">
        <f t="shared" si="1"/>
        <v>0</v>
      </c>
      <c r="BF5" s="18">
        <f t="shared" si="1"/>
        <v>0</v>
      </c>
      <c r="BG5" s="18">
        <f t="shared" si="1"/>
        <v>45478.349999999962</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3">
      <c r="A6" s="15" t="s">
        <v>1874</v>
      </c>
      <c r="B6" s="2173"/>
      <c r="C6" s="2173"/>
      <c r="D6" s="2174"/>
      <c r="E6" s="16">
        <f>H6+AC6+AT6</f>
        <v>86105.95</v>
      </c>
      <c r="F6" s="16" t="s">
        <v>1</v>
      </c>
      <c r="G6" s="16" t="s">
        <v>2</v>
      </c>
      <c r="H6" s="20">
        <f>SUMIF(I$12:AB$12,"总值",I6:AB6)</f>
        <v>76352.31</v>
      </c>
      <c r="I6" s="16">
        <f t="shared" ref="I6:AB6" si="2">ROUND($A$3*I5/$B$3,2)</f>
        <v>34551.31</v>
      </c>
      <c r="J6" s="16">
        <f t="shared" si="2"/>
        <v>17600.18</v>
      </c>
      <c r="K6" s="16">
        <f t="shared" si="2"/>
        <v>4360.96</v>
      </c>
      <c r="L6" s="16">
        <f t="shared" si="2"/>
        <v>2528.1799999999998</v>
      </c>
      <c r="M6" s="16">
        <f t="shared" si="2"/>
        <v>2636.92</v>
      </c>
      <c r="N6" s="16">
        <f t="shared" si="2"/>
        <v>0</v>
      </c>
      <c r="O6" s="16">
        <f t="shared" si="2"/>
        <v>15395.12</v>
      </c>
      <c r="P6" s="16">
        <f t="shared" si="2"/>
        <v>0</v>
      </c>
      <c r="Q6" s="16">
        <f t="shared" si="2"/>
        <v>0</v>
      </c>
      <c r="R6" s="16">
        <f t="shared" si="2"/>
        <v>0</v>
      </c>
      <c r="S6" s="16">
        <f t="shared" si="2"/>
        <v>19408</v>
      </c>
      <c r="T6" s="16">
        <f t="shared" si="2"/>
        <v>8985.25</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2201.8999999999996</v>
      </c>
      <c r="AD6" s="16">
        <f t="shared" ref="AD6:AS6" si="3">ROUND($A$3*AD5/$B$3,2)</f>
        <v>716.76</v>
      </c>
      <c r="AE6" s="16">
        <f t="shared" si="3"/>
        <v>0</v>
      </c>
      <c r="AF6" s="16">
        <f t="shared" si="3"/>
        <v>0</v>
      </c>
      <c r="AG6" s="16">
        <f t="shared" si="3"/>
        <v>0</v>
      </c>
      <c r="AH6" s="16">
        <f t="shared" si="3"/>
        <v>114.54</v>
      </c>
      <c r="AI6" s="16">
        <f t="shared" si="3"/>
        <v>0</v>
      </c>
      <c r="AJ6" s="16">
        <f t="shared" si="3"/>
        <v>0</v>
      </c>
      <c r="AK6" s="16">
        <f t="shared" si="3"/>
        <v>0</v>
      </c>
      <c r="AL6" s="16">
        <f t="shared" si="3"/>
        <v>1370.6</v>
      </c>
      <c r="AM6" s="16">
        <f t="shared" si="3"/>
        <v>0</v>
      </c>
      <c r="AN6" s="16">
        <f t="shared" si="3"/>
        <v>0</v>
      </c>
      <c r="AO6" s="16">
        <f t="shared" si="3"/>
        <v>0</v>
      </c>
      <c r="AP6" s="16">
        <f t="shared" si="3"/>
        <v>0</v>
      </c>
      <c r="AQ6" s="16">
        <f t="shared" si="3"/>
        <v>0</v>
      </c>
      <c r="AR6" s="16">
        <f t="shared" si="3"/>
        <v>0</v>
      </c>
      <c r="AS6" s="16">
        <f t="shared" si="3"/>
        <v>0</v>
      </c>
      <c r="AT6" s="20">
        <f>IF(C3="是",ROUND($A$3*AT5/$B$3,2),0)</f>
        <v>7551.74</v>
      </c>
      <c r="AU6" s="2175"/>
      <c r="AV6" s="15" t="s">
        <v>1874</v>
      </c>
      <c r="AW6" s="2173"/>
      <c r="AX6" s="2173"/>
      <c r="AY6" s="21">
        <f>IF(AY3&gt;0,AY3,ROUND($A$3*AZ5/$B$3,2))</f>
        <v>29206.66</v>
      </c>
      <c r="AZ6" s="16" t="s">
        <v>3</v>
      </c>
      <c r="BA6" s="16">
        <f>ROUND($AY$6*BA5/$AZ$5,2)</f>
        <v>29206.66</v>
      </c>
      <c r="BB6" s="16">
        <f>ROUND($AY$6*BB5/$AZ$5,2)</f>
        <v>16951.13</v>
      </c>
      <c r="BC6" s="16">
        <f t="shared" ref="BC6:BH6" si="4">ROUND($AY$6*BC5/$AZ$5,2)</f>
        <v>1832.78</v>
      </c>
      <c r="BD6" s="16">
        <f t="shared" si="4"/>
        <v>0</v>
      </c>
      <c r="BE6" s="16">
        <f t="shared" si="4"/>
        <v>0</v>
      </c>
      <c r="BF6" s="16">
        <f t="shared" si="4"/>
        <v>0</v>
      </c>
      <c r="BG6" s="16">
        <f t="shared" si="4"/>
        <v>10422.75</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6">
      <c r="A7" s="2108" t="s">
        <v>1875</v>
      </c>
      <c r="B7" s="2108" t="s">
        <v>1876</v>
      </c>
      <c r="C7" s="2108" t="s">
        <v>1877</v>
      </c>
      <c r="D7" s="2108" t="s">
        <v>1878</v>
      </c>
      <c r="E7" s="2108" t="s">
        <v>1879</v>
      </c>
      <c r="F7" s="2108" t="s">
        <v>1880</v>
      </c>
      <c r="G7" s="2177" t="s">
        <v>1881</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1882</v>
      </c>
      <c r="AV7" s="23" t="s">
        <v>1883</v>
      </c>
      <c r="AW7" s="2165" t="s">
        <v>1884</v>
      </c>
      <c r="AX7" s="23" t="s">
        <v>1877</v>
      </c>
      <c r="AY7" s="1802" t="s">
        <v>1885</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6">
      <c r="A8" s="2181"/>
      <c r="B8" s="2181"/>
      <c r="C8" s="2181"/>
      <c r="D8" s="2181"/>
      <c r="E8" s="2181"/>
      <c r="F8" s="2181"/>
      <c r="G8" s="2182" t="s">
        <v>1886</v>
      </c>
      <c r="H8" s="2183" t="s">
        <v>1887</v>
      </c>
      <c r="I8" s="2184"/>
      <c r="J8" s="1817"/>
      <c r="K8" s="1817"/>
      <c r="L8" s="1817"/>
      <c r="M8" s="1817"/>
      <c r="N8" s="1817"/>
      <c r="O8" s="1817"/>
      <c r="P8" s="1817"/>
      <c r="Q8" s="1817"/>
      <c r="R8" s="1817"/>
      <c r="S8" s="1817"/>
      <c r="T8" s="1817"/>
      <c r="U8" s="1817"/>
      <c r="V8" s="2185"/>
      <c r="W8" s="1817"/>
      <c r="X8" s="1817"/>
      <c r="Y8" s="1817"/>
      <c r="Z8" s="1817"/>
      <c r="AA8" s="2185"/>
      <c r="AB8" s="2186"/>
      <c r="AC8" s="981" t="s">
        <v>1888</v>
      </c>
      <c r="AD8" s="2187"/>
      <c r="AE8" s="2179"/>
      <c r="AF8" s="1817"/>
      <c r="AG8" s="1817"/>
      <c r="AH8" s="1817"/>
      <c r="AI8" s="1817"/>
      <c r="AJ8" s="1817"/>
      <c r="AK8" s="1817"/>
      <c r="AL8" s="1817"/>
      <c r="AM8" s="1817"/>
      <c r="AN8" s="1817"/>
      <c r="AO8" s="1817"/>
      <c r="AP8" s="1817"/>
      <c r="AQ8" s="1817"/>
      <c r="AR8" s="1817"/>
      <c r="AS8" s="1817"/>
      <c r="AT8" s="1292" t="s">
        <v>1889</v>
      </c>
      <c r="AU8" s="2181" t="s">
        <v>1890</v>
      </c>
      <c r="AV8" s="1292"/>
      <c r="AW8" s="2164"/>
      <c r="AX8" s="1292"/>
      <c r="AY8" s="2165" t="s">
        <v>1891</v>
      </c>
      <c r="AZ8" s="1816" t="s">
        <v>1892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3">
      <c r="A9" s="2181"/>
      <c r="B9" s="2181"/>
      <c r="C9" s="2181"/>
      <c r="D9" s="2181"/>
      <c r="E9" s="2181"/>
      <c r="F9" s="2181"/>
      <c r="G9" s="1292"/>
      <c r="H9" s="2189" t="s">
        <v>1893</v>
      </c>
      <c r="I9" s="2190" t="s">
        <v>3072</v>
      </c>
      <c r="J9" s="981"/>
      <c r="K9" s="2190" t="s">
        <v>3072</v>
      </c>
      <c r="L9" s="981"/>
      <c r="M9" s="2190" t="s">
        <v>3070</v>
      </c>
      <c r="N9" s="981"/>
      <c r="O9" s="2190" t="s">
        <v>3070</v>
      </c>
      <c r="P9" s="981"/>
      <c r="Q9" s="2190" t="s">
        <v>3072</v>
      </c>
      <c r="R9" s="981"/>
      <c r="S9" s="2190" t="s">
        <v>3072</v>
      </c>
      <c r="T9" s="981"/>
      <c r="U9" s="2190"/>
      <c r="V9" s="981"/>
      <c r="W9" s="2190"/>
      <c r="X9" s="2191"/>
      <c r="Y9" s="2190"/>
      <c r="Z9" s="981"/>
      <c r="AA9" s="2190"/>
      <c r="AB9" s="981"/>
      <c r="AC9" s="2182"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2"/>
      <c r="AT9" s="2181"/>
      <c r="AU9" s="2181" t="s">
        <v>1896</v>
      </c>
      <c r="AV9" s="1292"/>
      <c r="AW9" s="2164"/>
      <c r="AX9" s="1292"/>
      <c r="AY9" s="28"/>
      <c r="AZ9" s="28" t="s">
        <v>1886</v>
      </c>
      <c r="BA9" s="2193" t="s">
        <v>1897</v>
      </c>
      <c r="BB9" s="2194"/>
      <c r="BC9" s="1338"/>
      <c r="BD9" s="1338"/>
      <c r="BE9" s="1338"/>
      <c r="BF9" s="1338"/>
      <c r="BG9" s="1338"/>
      <c r="BH9" s="1338"/>
      <c r="BI9" s="1338"/>
      <c r="BJ9" s="1338"/>
      <c r="BK9" s="2195"/>
      <c r="BL9" s="15" t="s">
        <v>1898</v>
      </c>
      <c r="BM9" s="1817"/>
      <c r="BN9" s="2184"/>
      <c r="BO9" s="1817"/>
      <c r="BP9" s="1817"/>
      <c r="BQ9" s="1817"/>
      <c r="BR9" s="1817"/>
      <c r="BS9" s="1817"/>
      <c r="BT9" s="26"/>
    </row>
    <row r="10" spans="1:72" s="2188" customFormat="1" ht="13">
      <c r="A10" s="2181"/>
      <c r="B10" s="2181"/>
      <c r="C10" s="2181"/>
      <c r="D10" s="2181"/>
      <c r="E10" s="2181"/>
      <c r="F10" s="2181"/>
      <c r="G10" s="1292"/>
      <c r="H10" s="28"/>
      <c r="I10" s="2190" t="s">
        <v>3073</v>
      </c>
      <c r="J10" s="981"/>
      <c r="K10" s="2196" t="s">
        <v>1372</v>
      </c>
      <c r="L10" s="981"/>
      <c r="M10" s="2196" t="s">
        <v>1372</v>
      </c>
      <c r="N10" s="981"/>
      <c r="O10" s="2196" t="s">
        <v>3071</v>
      </c>
      <c r="P10" s="981"/>
      <c r="Q10" s="2196" t="s">
        <v>27</v>
      </c>
      <c r="R10" s="981"/>
      <c r="S10" s="2196" t="s">
        <v>27</v>
      </c>
      <c r="T10" s="981"/>
      <c r="U10" s="2196"/>
      <c r="V10" s="981"/>
      <c r="W10" s="2196"/>
      <c r="X10" s="981"/>
      <c r="Y10" s="2196"/>
      <c r="Z10" s="981"/>
      <c r="AA10" s="2196"/>
      <c r="AB10" s="981"/>
      <c r="AC10" s="1292"/>
      <c r="AD10" s="15" t="s">
        <v>1899</v>
      </c>
      <c r="AE10" s="2197"/>
      <c r="AF10" s="15" t="s">
        <v>1899</v>
      </c>
      <c r="AG10" s="2197"/>
      <c r="AH10" s="15" t="s">
        <v>1900</v>
      </c>
      <c r="AI10" s="2197"/>
      <c r="AJ10" s="15" t="s">
        <v>1900</v>
      </c>
      <c r="AK10" s="2197"/>
      <c r="AL10" s="15" t="s">
        <v>1901</v>
      </c>
      <c r="AM10" s="1298"/>
      <c r="AN10" s="15" t="s">
        <v>1901</v>
      </c>
      <c r="AO10" s="1298"/>
      <c r="AP10" s="15" t="s">
        <v>1902</v>
      </c>
      <c r="AQ10" s="1298"/>
      <c r="AR10" s="15" t="s">
        <v>1902</v>
      </c>
      <c r="AS10" s="1298"/>
      <c r="AT10" s="2181"/>
      <c r="AU10" s="2181"/>
      <c r="AV10" s="1292"/>
      <c r="AW10" s="2164"/>
      <c r="AX10" s="1292"/>
      <c r="AY10" s="28"/>
      <c r="AZ10" s="28"/>
      <c r="BA10" s="2198" t="s">
        <v>1893</v>
      </c>
      <c r="BB10" s="2199" t="str">
        <f>I9</f>
        <v>地上</v>
      </c>
      <c r="BC10" s="29" t="str">
        <f>K9</f>
        <v>地上</v>
      </c>
      <c r="BD10" s="29" t="str">
        <f>M9</f>
        <v>地下</v>
      </c>
      <c r="BE10" s="29" t="str">
        <f>O9</f>
        <v>地下</v>
      </c>
      <c r="BF10" s="29" t="str">
        <f>Q9</f>
        <v>地上</v>
      </c>
      <c r="BG10" s="29" t="str">
        <f>S9</f>
        <v>地上</v>
      </c>
      <c r="BH10" s="29">
        <f>U9</f>
        <v>0</v>
      </c>
      <c r="BI10" s="29">
        <f>W9</f>
        <v>0</v>
      </c>
      <c r="BJ10" s="29">
        <f>Y9</f>
        <v>0</v>
      </c>
      <c r="BK10" s="29">
        <f>AA9</f>
        <v>0</v>
      </c>
      <c r="BL10" s="25" t="s">
        <v>1893</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3">
      <c r="A11" s="2181"/>
      <c r="B11" s="2181"/>
      <c r="C11" s="2181"/>
      <c r="D11" s="2181"/>
      <c r="E11" s="2181"/>
      <c r="F11" s="2181"/>
      <c r="G11" s="1292"/>
      <c r="H11" s="2198"/>
      <c r="I11" s="2201"/>
      <c r="J11" s="2202"/>
      <c r="K11" s="2201"/>
      <c r="L11" s="2202"/>
      <c r="M11" s="2201"/>
      <c r="N11" s="2202"/>
      <c r="O11" s="2201"/>
      <c r="P11" s="2202"/>
      <c r="Q11" s="2201" t="s">
        <v>4621</v>
      </c>
      <c r="R11" s="2202"/>
      <c r="S11" s="2201" t="s">
        <v>4608</v>
      </c>
      <c r="T11" s="2202"/>
      <c r="U11" s="2201"/>
      <c r="V11" s="2202"/>
      <c r="W11" s="2201"/>
      <c r="X11" s="2202"/>
      <c r="Y11" s="2201"/>
      <c r="Z11" s="2202"/>
      <c r="AA11" s="2201"/>
      <c r="AB11" s="2202"/>
      <c r="AC11" s="1292"/>
      <c r="AD11" s="2203" t="s">
        <v>1903</v>
      </c>
      <c r="AE11" s="1818"/>
      <c r="AF11" s="2203" t="s">
        <v>1903</v>
      </c>
      <c r="AG11" s="1818"/>
      <c r="AH11" s="2203" t="s">
        <v>1904</v>
      </c>
      <c r="AI11" s="2204"/>
      <c r="AJ11" s="2203" t="s">
        <v>1904</v>
      </c>
      <c r="AK11" s="1818"/>
      <c r="AL11" s="1816"/>
      <c r="AM11" s="1818"/>
      <c r="AN11" s="1816"/>
      <c r="AO11" s="1818"/>
      <c r="AP11" s="1816"/>
      <c r="AQ11" s="1818"/>
      <c r="AR11" s="1816"/>
      <c r="AS11" s="1818"/>
      <c r="AT11" s="2164"/>
      <c r="AU11" s="2181"/>
      <c r="AV11" s="1292"/>
      <c r="AW11" s="2164"/>
      <c r="AX11" s="1292"/>
      <c r="AY11" s="28"/>
      <c r="AZ11" s="28"/>
      <c r="BA11" s="28"/>
      <c r="BB11" s="2186" t="str">
        <f>I10</f>
        <v>住宅</v>
      </c>
      <c r="BC11" s="2186" t="str">
        <f>K10</f>
        <v>商业</v>
      </c>
      <c r="BD11" s="2186" t="str">
        <f>M10</f>
        <v>商业</v>
      </c>
      <c r="BE11" s="2186" t="str">
        <f>O10</f>
        <v>车库</v>
      </c>
      <c r="BF11" s="2186" t="str">
        <f>Q10</f>
        <v>办公</v>
      </c>
      <c r="BG11" s="2186" t="str">
        <f>S10</f>
        <v>办公</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
      <c r="A12" s="2206"/>
      <c r="B12" s="2206"/>
      <c r="C12" s="2206"/>
      <c r="D12" s="2206"/>
      <c r="E12" s="2206"/>
      <c r="F12" s="2206"/>
      <c r="G12" s="30"/>
      <c r="H12" s="2207"/>
      <c r="I12" s="1805"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1" t="s">
        <v>1906</v>
      </c>
      <c r="W12" s="11" t="s">
        <v>1905</v>
      </c>
      <c r="X12" s="11" t="s">
        <v>1906</v>
      </c>
      <c r="Y12" s="11" t="s">
        <v>1905</v>
      </c>
      <c r="Z12" s="11" t="s">
        <v>1906</v>
      </c>
      <c r="AA12" s="11" t="s">
        <v>1905</v>
      </c>
      <c r="AB12" s="11" t="s">
        <v>1906</v>
      </c>
      <c r="AC12" s="2208"/>
      <c r="AD12" s="1805"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6" t="s">
        <v>1906</v>
      </c>
      <c r="AT12" s="2209"/>
      <c r="AU12" s="2206"/>
      <c r="AV12" s="31"/>
      <c r="AW12" s="2165"/>
      <c r="AX12" s="31"/>
      <c r="AY12" s="2210"/>
      <c r="AZ12" s="28"/>
      <c r="BA12" s="2198"/>
      <c r="BB12" s="24">
        <f>I11</f>
        <v>0</v>
      </c>
      <c r="BC12" s="2211">
        <f>K11</f>
        <v>0</v>
      </c>
      <c r="BD12" s="2211">
        <f>M11</f>
        <v>0</v>
      </c>
      <c r="BE12" s="2186">
        <f>O11</f>
        <v>0</v>
      </c>
      <c r="BF12" s="2186" t="str">
        <f>Q11</f>
        <v>办公楼</v>
      </c>
      <c r="BG12" s="2186" t="str">
        <f>S11</f>
        <v>公寓</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3">
      <c r="A13" s="1272"/>
      <c r="B13" s="1272"/>
      <c r="C13" s="1272" t="s">
        <v>3064</v>
      </c>
      <c r="D13" s="2212" t="s">
        <v>3063</v>
      </c>
      <c r="E13" s="16">
        <f>IF($C$3="是",ROUND($A$3*G13/$B$3,2),ROUND($A$3*(G13-AT13)/$B$3,2))</f>
        <v>4179.2700000000004</v>
      </c>
      <c r="F13" s="32"/>
      <c r="G13" s="33">
        <f>H13+AC13+AT13</f>
        <v>18235.72</v>
      </c>
      <c r="H13" s="20">
        <f>SUMIF(I$12:AB$12,"总值",I13:AB13)</f>
        <v>18235.72</v>
      </c>
      <c r="I13" s="2213">
        <v>18235.72</v>
      </c>
      <c r="J13" s="2213">
        <f>I13-抵押物清单!J4</f>
        <v>17274.190000000002</v>
      </c>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5-6#住宅楼</v>
      </c>
      <c r="AY13" s="1805">
        <f>ROUND($AY$6*AZ13/$AZ$5,2)</f>
        <v>220.36</v>
      </c>
      <c r="AZ13" s="16">
        <f>BA13+BL13</f>
        <v>961.52999999999884</v>
      </c>
      <c r="BA13" s="16">
        <f>SUM(BB13:BK13)</f>
        <v>961.52999999999884</v>
      </c>
      <c r="BB13" s="16">
        <f>IF($D13="是",I13-J13,0)</f>
        <v>961.52999999999884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26">
      <c r="A14" s="1272"/>
      <c r="B14" s="1272"/>
      <c r="C14" s="2152" t="s">
        <v>3074</v>
      </c>
      <c r="D14" s="2212" t="s">
        <v>3063</v>
      </c>
      <c r="E14" s="16">
        <f>IF($C$3="是",ROUND($A$3*G14/$B$3,2),ROUND($A$3*(G14-AT14)/$B$3,2))</f>
        <v>9087.59</v>
      </c>
      <c r="F14" s="32"/>
      <c r="G14" s="33">
        <f>H14+AC14+AT14</f>
        <v>39652.559999999998</v>
      </c>
      <c r="H14" s="20">
        <f>SUMIF(I$12:AB$12,"总值",I14:AB14)</f>
        <v>39652.559999999998</v>
      </c>
      <c r="I14" s="2213">
        <f>20309.77-278.3+19621.09-K14</f>
        <v>36161.199999999997</v>
      </c>
      <c r="J14" s="2213">
        <f>I14-抵押物清单!J7-抵押物清单!J9</f>
        <v>34147.78</v>
      </c>
      <c r="K14" s="2213">
        <f>14997.25-M19</f>
        <v>3491.3600000000006</v>
      </c>
      <c r="L14" s="2213">
        <f>K14-抵押物清单!J18-抵押物清单!J19</f>
        <v>2930.380000000001</v>
      </c>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7-8#、11-12#商住楼</v>
      </c>
      <c r="AY14" s="1805">
        <f>ROUND($AY$6*AZ14/$AZ$5,2)</f>
        <v>590</v>
      </c>
      <c r="AZ14" s="16">
        <f>BA14+BL14</f>
        <v>2574.3999999999978</v>
      </c>
      <c r="BA14" s="16">
        <f>SUM(BB14:BK14)</f>
        <v>2574.3999999999978</v>
      </c>
      <c r="BB14" s="16">
        <f>IF($D14="是",I14-J14,0)</f>
        <v>2013.4199999999983</v>
      </c>
      <c r="BC14" s="16">
        <f>IF($D14="是",K14-L14,0)</f>
        <v>560.97999999999956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26">
      <c r="A15" s="1272"/>
      <c r="B15" s="1272"/>
      <c r="C15" s="2152" t="s">
        <v>3065</v>
      </c>
      <c r="D15" s="2212" t="s">
        <v>3063</v>
      </c>
      <c r="E15" s="16">
        <f>IF($C$3="是",ROUND($A$3*G15/$B$3,2),ROUND($A$3*(G15-AT15)/$B$3,2))</f>
        <v>4188.99</v>
      </c>
      <c r="F15" s="32"/>
      <c r="G15" s="33">
        <f>H15+AC15+AT15</f>
        <v>18278.11</v>
      </c>
      <c r="H15" s="20">
        <f>SUMIF(I$12:AB$12,"总值",I15:AB15)</f>
        <v>18278.11</v>
      </c>
      <c r="I15" s="2213">
        <v>18278.11</v>
      </c>
      <c r="J15" s="2213">
        <f>I15-抵押物清单!J8</f>
        <v>17011.650000000001</v>
      </c>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9-10#住宅楼</v>
      </c>
      <c r="AY15" s="1805">
        <f>ROUND($AY$6*AZ15/$AZ$5,2)</f>
        <v>290.25</v>
      </c>
      <c r="AZ15" s="16">
        <f>BA15+BL15</f>
        <v>1266.4599999999991</v>
      </c>
      <c r="BA15" s="16">
        <f>SUM(BB15:BK15)</f>
        <v>1266.4599999999991</v>
      </c>
      <c r="BB15" s="16">
        <f>IF($D15="是",I15-J15,0)</f>
        <v>1266.4599999999991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26">
      <c r="A16" s="1272"/>
      <c r="B16" s="1272"/>
      <c r="C16" s="2955" t="s">
        <v>3066</v>
      </c>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11-12#商住楼</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3">
      <c r="A17" s="1272"/>
      <c r="B17" s="1272"/>
      <c r="C17" s="2953" t="s">
        <v>3067</v>
      </c>
      <c r="D17" s="2212" t="s">
        <v>4619</v>
      </c>
      <c r="E17" s="16">
        <f>IF($C$3="是",ROUND($A$3*G17/$B$3,2),ROUND($A$3*(G17-AT17)/$B$3,2))</f>
        <v>223.43</v>
      </c>
      <c r="F17" s="32"/>
      <c r="G17" s="33">
        <f>H17+AC17+AT17</f>
        <v>974.91</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974.91</v>
      </c>
      <c r="AD17" s="2214">
        <v>974.91</v>
      </c>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综合楼</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4" t="s">
        <v>3068</v>
      </c>
      <c r="D18" s="2217" t="s">
        <v>4619</v>
      </c>
      <c r="E18" s="35">
        <f t="shared" ref="E18:E112" si="7">IF($C$3="是",ROUND($A$3*G18/$B$3,2),ROUND($A$3*(G18-AT18)/$B$3,2))</f>
        <v>62.02</v>
      </c>
      <c r="F18" s="36"/>
      <c r="G18" s="37">
        <f t="shared" ref="G18:G109" si="8">H18+AC18+AT18</f>
        <v>270.60000000000002</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270.60000000000002</v>
      </c>
      <c r="AD18" s="40"/>
      <c r="AE18" s="40"/>
      <c r="AF18" s="40"/>
      <c r="AG18" s="40"/>
      <c r="AH18" s="40"/>
      <c r="AI18" s="40"/>
      <c r="AJ18" s="40"/>
      <c r="AK18" s="40"/>
      <c r="AL18" s="40">
        <f>135.3*2</f>
        <v>270.60000000000002</v>
      </c>
      <c r="AM18" s="40"/>
      <c r="AN18" s="40"/>
      <c r="AO18" s="40"/>
      <c r="AP18" s="40"/>
      <c r="AQ18" s="40"/>
      <c r="AR18" s="40"/>
      <c r="AS18" s="40"/>
      <c r="AT18" s="41"/>
      <c r="AU18" s="2218"/>
      <c r="AV18" s="1794">
        <f t="shared" ref="AV18:AV112" si="11">A18</f>
        <v>0</v>
      </c>
      <c r="AW18" s="1794">
        <f t="shared" ref="AW18:AW112" si="12">B18</f>
        <v>0</v>
      </c>
      <c r="AX18" s="1794" t="str">
        <f t="shared" ref="AX18:AX112" si="13">C18</f>
        <v>配电房</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4" t="s">
        <v>3069</v>
      </c>
      <c r="D19" s="2217" t="s">
        <v>4619</v>
      </c>
      <c r="E19" s="35">
        <f t="shared" si="7"/>
        <v>18032.05</v>
      </c>
      <c r="F19" s="36"/>
      <c r="G19" s="37">
        <f t="shared" si="8"/>
        <v>78680.570000000007</v>
      </c>
      <c r="H19" s="38">
        <f t="shared" si="9"/>
        <v>78680.570000000007</v>
      </c>
      <c r="I19" s="39"/>
      <c r="J19" s="39"/>
      <c r="K19" s="39"/>
      <c r="L19" s="39"/>
      <c r="M19" s="39">
        <v>11505.89</v>
      </c>
      <c r="N19" s="39"/>
      <c r="O19" s="39">
        <f>78680.57-M19</f>
        <v>67174.680000000008</v>
      </c>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t="str">
        <f t="shared" si="13"/>
        <v>地下室</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34" t="s">
        <v>3083</v>
      </c>
      <c r="D20" s="2217" t="s">
        <v>3063</v>
      </c>
      <c r="E20" s="35">
        <f t="shared" si="7"/>
        <v>17462.53</v>
      </c>
      <c r="F20" s="36"/>
      <c r="G20" s="37">
        <f t="shared" si="8"/>
        <v>76195.549999999988</v>
      </c>
      <c r="H20" s="38">
        <f t="shared" si="9"/>
        <v>76195.549999999988</v>
      </c>
      <c r="I20" s="39"/>
      <c r="J20" s="39"/>
      <c r="K20" s="39">
        <f>9389.86-(K24-抵押物清单!J23)</f>
        <v>5694.5100000000011</v>
      </c>
      <c r="L20" s="39">
        <f>K20-抵押物清单!J16-抵押物清单!J20-抵押物清单!J21</f>
        <v>4659.0200000000013</v>
      </c>
      <c r="M20" s="39"/>
      <c r="N20" s="39"/>
      <c r="O20" s="39"/>
      <c r="P20" s="39"/>
      <c r="Q20" s="39"/>
      <c r="R20" s="39"/>
      <c r="S20" s="39">
        <f>26071.12+21504.46+29227.6-607.63-(9389.86-(K24-抵押物清单!J23))</f>
        <v>70501.039999999994</v>
      </c>
      <c r="T20" s="39">
        <f>S20-抵押物清单!J12-抵押物清单!J13-抵押物清单!J15</f>
        <v>25455.690000000028</v>
      </c>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t="str">
        <f t="shared" si="13"/>
        <v>1、2、4#办公楼</v>
      </c>
      <c r="AY20" s="42">
        <f t="shared" si="14"/>
        <v>10560.83</v>
      </c>
      <c r="AZ20" s="35">
        <f t="shared" si="15"/>
        <v>46080.83999999996</v>
      </c>
      <c r="BA20" s="35">
        <f t="shared" si="16"/>
        <v>46080.83999999996</v>
      </c>
      <c r="BB20" s="35">
        <f t="shared" si="17"/>
        <v>0</v>
      </c>
      <c r="BC20" s="35">
        <f t="shared" si="18"/>
        <v>1035.4899999999998</v>
      </c>
      <c r="BD20" s="35">
        <f t="shared" si="19"/>
        <v>0</v>
      </c>
      <c r="BE20" s="35">
        <f t="shared" si="20"/>
        <v>0</v>
      </c>
      <c r="BF20" s="35">
        <f t="shared" si="21"/>
        <v>0</v>
      </c>
      <c r="BG20" s="35">
        <f t="shared" si="22"/>
        <v>45045.349999999962</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4.5">
      <c r="A21" s="9"/>
      <c r="B21" s="34"/>
      <c r="C21" s="2957" t="s">
        <v>3077</v>
      </c>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t="str">
        <f t="shared" si="13"/>
        <v>2#办公楼</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4.5">
      <c r="A22" s="9"/>
      <c r="B22" s="34"/>
      <c r="C22" s="2958" t="s">
        <v>3078</v>
      </c>
      <c r="D22" s="2217" t="s">
        <v>3063</v>
      </c>
      <c r="E22" s="35">
        <f t="shared" si="7"/>
        <v>3250.54</v>
      </c>
      <c r="F22" s="36"/>
      <c r="G22" s="37">
        <f t="shared" si="8"/>
        <v>14183.31</v>
      </c>
      <c r="H22" s="38">
        <f t="shared" si="9"/>
        <v>14183.31</v>
      </c>
      <c r="I22" s="39"/>
      <c r="J22" s="39"/>
      <c r="K22" s="39"/>
      <c r="L22" s="39"/>
      <c r="M22" s="39"/>
      <c r="N22" s="39"/>
      <c r="O22" s="39"/>
      <c r="P22" s="39"/>
      <c r="Q22" s="39"/>
      <c r="R22" s="39"/>
      <c r="S22" s="39">
        <f>14183.31</f>
        <v>14183.31</v>
      </c>
      <c r="T22" s="39">
        <f>S22-抵押物清单!J14</f>
        <v>13750.31</v>
      </c>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t="str">
        <f t="shared" si="13"/>
        <v>3#办公楼</v>
      </c>
      <c r="AY22" s="42">
        <f t="shared" si="14"/>
        <v>99.24</v>
      </c>
      <c r="AZ22" s="35">
        <f t="shared" si="15"/>
        <v>433</v>
      </c>
      <c r="BA22" s="35">
        <f t="shared" si="16"/>
        <v>433</v>
      </c>
      <c r="BB22" s="35">
        <f t="shared" si="17"/>
        <v>0</v>
      </c>
      <c r="BC22" s="35">
        <f t="shared" si="18"/>
        <v>0</v>
      </c>
      <c r="BD22" s="35">
        <f t="shared" si="19"/>
        <v>0</v>
      </c>
      <c r="BE22" s="35">
        <f t="shared" si="20"/>
        <v>0</v>
      </c>
      <c r="BF22" s="35">
        <f t="shared" si="21"/>
        <v>0</v>
      </c>
      <c r="BG22" s="35">
        <f t="shared" si="22"/>
        <v>433</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4.5">
      <c r="A23" s="9"/>
      <c r="B23" s="34"/>
      <c r="C23" s="2957" t="s">
        <v>3079</v>
      </c>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t="str">
        <f t="shared" si="13"/>
        <v>4#办公楼</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28">
      <c r="A24" s="9"/>
      <c r="B24" s="34"/>
      <c r="C24" s="2954" t="s">
        <v>3081</v>
      </c>
      <c r="D24" s="2217" t="s">
        <v>3063</v>
      </c>
      <c r="E24" s="35">
        <f t="shared" si="7"/>
        <v>2076.71</v>
      </c>
      <c r="F24" s="36"/>
      <c r="G24" s="37">
        <f t="shared" si="8"/>
        <v>9061.4599999999991</v>
      </c>
      <c r="H24" s="38">
        <f t="shared" si="9"/>
        <v>9061.4599999999991</v>
      </c>
      <c r="I24" s="39"/>
      <c r="J24" s="39"/>
      <c r="K24" s="39">
        <v>9061.4599999999991</v>
      </c>
      <c r="L24" s="39">
        <f>K24-抵押物清单!J17-抵押物清单!J23</f>
        <v>3442.0099999999993</v>
      </c>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t="str">
        <f t="shared" si="13"/>
        <v>商业及影城</v>
      </c>
      <c r="AY24" s="42">
        <f t="shared" si="14"/>
        <v>1287.8699999999999</v>
      </c>
      <c r="AZ24" s="35">
        <f t="shared" si="15"/>
        <v>5619.45</v>
      </c>
      <c r="BA24" s="35">
        <f t="shared" si="16"/>
        <v>5619.45</v>
      </c>
      <c r="BB24" s="35">
        <f t="shared" si="17"/>
        <v>0</v>
      </c>
      <c r="BC24" s="35">
        <f t="shared" si="18"/>
        <v>5619.45</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4" t="s">
        <v>3082</v>
      </c>
      <c r="D25" s="2217" t="s">
        <v>4619</v>
      </c>
      <c r="E25" s="35">
        <f t="shared" si="7"/>
        <v>421.56</v>
      </c>
      <c r="F25" s="36"/>
      <c r="G25" s="37">
        <f t="shared" si="8"/>
        <v>1839.42</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1839.42</v>
      </c>
      <c r="AD25" s="40">
        <f>1839.42-AL25</f>
        <v>1815.8000000000002</v>
      </c>
      <c r="AE25" s="40"/>
      <c r="AF25" s="40"/>
      <c r="AG25" s="40"/>
      <c r="AH25" s="40"/>
      <c r="AI25" s="40"/>
      <c r="AJ25" s="40"/>
      <c r="AK25" s="40"/>
      <c r="AL25" s="40">
        <v>23.62</v>
      </c>
      <c r="AM25" s="40"/>
      <c r="AN25" s="40"/>
      <c r="AO25" s="40"/>
      <c r="AP25" s="40"/>
      <c r="AQ25" s="40"/>
      <c r="AR25" s="40"/>
      <c r="AS25" s="40"/>
      <c r="AT25" s="41"/>
      <c r="AU25" s="2218"/>
      <c r="AV25" s="1794">
        <f t="shared" si="11"/>
        <v>0</v>
      </c>
      <c r="AW25" s="1794">
        <f t="shared" si="12"/>
        <v>0</v>
      </c>
      <c r="AX25" s="1794" t="str">
        <f t="shared" si="13"/>
        <v>幼儿园</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28">
      <c r="A26" s="9"/>
      <c r="B26" s="34"/>
      <c r="C26" s="34" t="s">
        <v>3085</v>
      </c>
      <c r="D26" s="2217" t="s">
        <v>3063</v>
      </c>
      <c r="E26" s="35">
        <f t="shared" si="7"/>
        <v>2811.12</v>
      </c>
      <c r="F26" s="36"/>
      <c r="G26" s="37">
        <f t="shared" si="8"/>
        <v>12265.98</v>
      </c>
      <c r="H26" s="38">
        <f t="shared" si="9"/>
        <v>12265.98</v>
      </c>
      <c r="I26" s="39">
        <v>12265.98</v>
      </c>
      <c r="J26" s="39">
        <f>I26-抵押物清单!J5</f>
        <v>1797.5799999999963</v>
      </c>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t="str">
        <f t="shared" si="13"/>
        <v>13#住宅楼</v>
      </c>
      <c r="AY26" s="42">
        <f t="shared" si="14"/>
        <v>2399.15</v>
      </c>
      <c r="AZ26" s="35">
        <f t="shared" si="15"/>
        <v>10468.400000000003</v>
      </c>
      <c r="BA26" s="35">
        <f t="shared" si="16"/>
        <v>10468.400000000003</v>
      </c>
      <c r="BB26" s="35">
        <f t="shared" si="17"/>
        <v>10468.400000000003</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28.5">
      <c r="A27" s="9"/>
      <c r="B27" s="34"/>
      <c r="C27" s="34" t="s">
        <v>3086</v>
      </c>
      <c r="D27" s="2217" t="s">
        <v>3063</v>
      </c>
      <c r="E27" s="35">
        <f t="shared" si="7"/>
        <v>4248.83</v>
      </c>
      <c r="F27" s="36"/>
      <c r="G27" s="37">
        <f t="shared" si="8"/>
        <v>18539.240000000002</v>
      </c>
      <c r="H27" s="38">
        <f t="shared" si="9"/>
        <v>18539.240000000002</v>
      </c>
      <c r="I27" s="39">
        <v>18539.240000000002</v>
      </c>
      <c r="J27" s="39">
        <f>I27-抵押物清单!J3</f>
        <v>3264.0099999999857</v>
      </c>
      <c r="K27" s="2414"/>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t="str">
        <f t="shared" si="13"/>
        <v>14-15#住宅楼</v>
      </c>
      <c r="AY27" s="42">
        <f t="shared" si="14"/>
        <v>3500.78</v>
      </c>
      <c r="AZ27" s="35">
        <f t="shared" si="15"/>
        <v>15275.230000000016</v>
      </c>
      <c r="BA27" s="35">
        <f t="shared" si="16"/>
        <v>15275.230000000016</v>
      </c>
      <c r="BB27" s="35">
        <f t="shared" si="17"/>
        <v>15275.230000000016</v>
      </c>
      <c r="BC27" s="35">
        <f>IF($D27="是",M27-L27,0)</f>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28">
      <c r="A28" s="9"/>
      <c r="B28" s="34"/>
      <c r="C28" s="34" t="s">
        <v>3087</v>
      </c>
      <c r="D28" s="2217" t="s">
        <v>3063</v>
      </c>
      <c r="E28" s="35">
        <f t="shared" si="7"/>
        <v>2811.12</v>
      </c>
      <c r="F28" s="36"/>
      <c r="G28" s="37">
        <f t="shared" si="8"/>
        <v>12265.98</v>
      </c>
      <c r="H28" s="38">
        <f t="shared" si="9"/>
        <v>12265.98</v>
      </c>
      <c r="I28" s="39">
        <v>12265.98</v>
      </c>
      <c r="J28" s="39">
        <f>I28-抵押物清单!J6</f>
        <v>1008.2099999999846</v>
      </c>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t="str">
        <f t="shared" si="13"/>
        <v>16#住宅楼</v>
      </c>
      <c r="AY28" s="42">
        <f t="shared" si="14"/>
        <v>2580.06</v>
      </c>
      <c r="AZ28" s="35">
        <f t="shared" si="15"/>
        <v>11257.770000000015</v>
      </c>
      <c r="BA28" s="35">
        <f t="shared" si="16"/>
        <v>11257.770000000015</v>
      </c>
      <c r="BB28" s="35">
        <f t="shared" si="17"/>
        <v>11257.770000000015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28.5">
      <c r="A29" s="9"/>
      <c r="B29" s="34"/>
      <c r="C29" s="34" t="s">
        <v>3088</v>
      </c>
      <c r="D29" s="2217" t="s">
        <v>3063</v>
      </c>
      <c r="E29" s="35">
        <f t="shared" si="7"/>
        <v>4248.83</v>
      </c>
      <c r="F29" s="36"/>
      <c r="G29" s="37">
        <f t="shared" si="8"/>
        <v>18539.240000000002</v>
      </c>
      <c r="H29" s="38">
        <f t="shared" si="9"/>
        <v>18539.240000000002</v>
      </c>
      <c r="I29" s="39">
        <v>18539.240000000002</v>
      </c>
      <c r="J29" s="39">
        <f>I29-抵押物清单!J11</f>
        <v>2292.7499999999854</v>
      </c>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t="str">
        <f t="shared" si="13"/>
        <v>17-18#住宅楼</v>
      </c>
      <c r="AY29" s="42">
        <f t="shared" si="14"/>
        <v>3723.38</v>
      </c>
      <c r="AZ29" s="35">
        <f t="shared" si="15"/>
        <v>16246.490000000016</v>
      </c>
      <c r="BA29" s="35">
        <f t="shared" si="16"/>
        <v>16246.490000000016</v>
      </c>
      <c r="BB29" s="35">
        <f t="shared" si="17"/>
        <v>16246.490000000016</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8.5">
      <c r="A30" s="9"/>
      <c r="B30" s="2954" t="s">
        <v>4622</v>
      </c>
      <c r="C30" s="2963" t="s">
        <v>3089</v>
      </c>
      <c r="D30" s="2217" t="s">
        <v>3063</v>
      </c>
      <c r="E30" s="35">
        <f t="shared" si="7"/>
        <v>3954.74</v>
      </c>
      <c r="F30" s="36"/>
      <c r="G30" s="37">
        <f t="shared" si="8"/>
        <v>17256.020000000004</v>
      </c>
      <c r="H30" s="38">
        <f t="shared" si="9"/>
        <v>17256.020000000004</v>
      </c>
      <c r="I30" s="39">
        <f>抵押物清单!J10</f>
        <v>16474.840000000004</v>
      </c>
      <c r="J30" s="39">
        <f>I30-抵押物清单!J10</f>
        <v>0</v>
      </c>
      <c r="K30" s="39">
        <f>抵押物清单!J22</f>
        <v>781.17999999999984</v>
      </c>
      <c r="L30" s="39">
        <f>K30-抵押物清单!J22</f>
        <v>0</v>
      </c>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t="str">
        <f t="shared" si="12"/>
        <v>抵押物清单</v>
      </c>
      <c r="AX30" s="1794" t="str">
        <f t="shared" si="13"/>
        <v>19-20#商住楼</v>
      </c>
      <c r="AY30" s="42">
        <f t="shared" si="14"/>
        <v>3954.74</v>
      </c>
      <c r="AZ30" s="35">
        <f t="shared" si="15"/>
        <v>17256.020000000004</v>
      </c>
      <c r="BA30" s="35">
        <f t="shared" si="16"/>
        <v>17256.020000000004</v>
      </c>
      <c r="BB30" s="35">
        <f t="shared" si="17"/>
        <v>16474.840000000004</v>
      </c>
      <c r="BC30" s="35">
        <f t="shared" si="18"/>
        <v>781.17999999999984</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54" t="s">
        <v>3068</v>
      </c>
      <c r="D31" s="2217" t="s">
        <v>4619</v>
      </c>
      <c r="E31" s="35">
        <f t="shared" si="7"/>
        <v>31.01</v>
      </c>
      <c r="F31" s="36"/>
      <c r="G31" s="37">
        <f t="shared" si="8"/>
        <v>135.30000000000001</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135.30000000000001</v>
      </c>
      <c r="AD31" s="40"/>
      <c r="AE31" s="40"/>
      <c r="AF31" s="40"/>
      <c r="AG31" s="40"/>
      <c r="AH31" s="40"/>
      <c r="AI31" s="40"/>
      <c r="AJ31" s="40"/>
      <c r="AK31" s="40"/>
      <c r="AL31" s="40">
        <v>135.30000000000001</v>
      </c>
      <c r="AM31" s="40"/>
      <c r="AN31" s="40"/>
      <c r="AO31" s="40"/>
      <c r="AP31" s="40"/>
      <c r="AQ31" s="40"/>
      <c r="AR31" s="40"/>
      <c r="AS31" s="40"/>
      <c r="AT31" s="41"/>
      <c r="AU31" s="2218"/>
      <c r="AV31" s="1794">
        <f t="shared" si="11"/>
        <v>0</v>
      </c>
      <c r="AW31" s="1794">
        <f t="shared" si="12"/>
        <v>0</v>
      </c>
      <c r="AX31" s="1794" t="str">
        <f t="shared" si="13"/>
        <v>配电房</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28">
      <c r="A32" s="9"/>
      <c r="B32" s="34"/>
      <c r="C32" s="2954" t="s">
        <v>3090</v>
      </c>
      <c r="D32" s="2217" t="s">
        <v>4619</v>
      </c>
      <c r="E32" s="35">
        <f t="shared" si="7"/>
        <v>7551.74</v>
      </c>
      <c r="F32" s="36"/>
      <c r="G32" s="37">
        <f t="shared" si="8"/>
        <v>32951.050000000003</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v>32951.050000000003</v>
      </c>
      <c r="AU32" s="2218"/>
      <c r="AV32" s="1794">
        <f t="shared" si="11"/>
        <v>0</v>
      </c>
      <c r="AW32" s="1794">
        <f t="shared" si="12"/>
        <v>0</v>
      </c>
      <c r="AX32" s="1794" t="str">
        <f t="shared" si="13"/>
        <v>三期地下室</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28.5">
      <c r="A33" s="9"/>
      <c r="B33" s="34"/>
      <c r="C33" s="34" t="s">
        <v>4625</v>
      </c>
      <c r="D33" s="2217" t="s">
        <v>4619</v>
      </c>
      <c r="E33" s="35">
        <f t="shared" si="7"/>
        <v>193.82</v>
      </c>
      <c r="F33" s="36"/>
      <c r="G33" s="37">
        <f t="shared" si="8"/>
        <v>845.72</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845.72</v>
      </c>
      <c r="AD33" s="40"/>
      <c r="AE33" s="40"/>
      <c r="AF33" s="40"/>
      <c r="AG33" s="40"/>
      <c r="AH33" s="40"/>
      <c r="AI33" s="40"/>
      <c r="AJ33" s="40"/>
      <c r="AK33" s="40"/>
      <c r="AL33" s="40">
        <f>577.44+268.28</f>
        <v>845.72</v>
      </c>
      <c r="AM33" s="40"/>
      <c r="AN33" s="40"/>
      <c r="AO33" s="40"/>
      <c r="AP33" s="40"/>
      <c r="AQ33" s="40"/>
      <c r="AR33" s="40"/>
      <c r="AS33" s="40"/>
      <c r="AT33" s="41"/>
      <c r="AU33" s="2218"/>
      <c r="AV33" s="1794">
        <f t="shared" si="11"/>
        <v>0</v>
      </c>
      <c r="AW33" s="1794">
        <f t="shared" si="12"/>
        <v>0</v>
      </c>
      <c r="AX33" s="1794" t="str">
        <f t="shared" si="13"/>
        <v>5-6#配套设备</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42">
      <c r="A34" s="9"/>
      <c r="B34" s="34"/>
      <c r="C34" s="2954" t="s">
        <v>4626</v>
      </c>
      <c r="D34" s="2217" t="s">
        <v>4619</v>
      </c>
      <c r="E34" s="35">
        <f t="shared" si="7"/>
        <v>259.52999999999997</v>
      </c>
      <c r="F34" s="36"/>
      <c r="G34" s="37">
        <f t="shared" si="8"/>
        <v>1132.4299999999998</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1132.4299999999998</v>
      </c>
      <c r="AD34" s="40"/>
      <c r="AE34" s="40"/>
      <c r="AF34" s="40"/>
      <c r="AG34" s="40"/>
      <c r="AH34" s="40">
        <v>278.3</v>
      </c>
      <c r="AI34" s="40"/>
      <c r="AJ34" s="40"/>
      <c r="AK34" s="40"/>
      <c r="AL34" s="40">
        <f>69.12+268.28+248.45+268.28</f>
        <v>854.12999999999988</v>
      </c>
      <c r="AM34" s="40"/>
      <c r="AN34" s="40"/>
      <c r="AO34" s="40"/>
      <c r="AP34" s="40"/>
      <c r="AQ34" s="40"/>
      <c r="AR34" s="40"/>
      <c r="AS34" s="40"/>
      <c r="AT34" s="41"/>
      <c r="AU34" s="2218"/>
      <c r="AV34" s="1794">
        <f t="shared" si="11"/>
        <v>0</v>
      </c>
      <c r="AW34" s="1794">
        <f t="shared" si="12"/>
        <v>0</v>
      </c>
      <c r="AX34" s="1794" t="str">
        <f t="shared" si="13"/>
        <v>7-8#、11-12#配套设备</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28.5">
      <c r="A35" s="9"/>
      <c r="B35" s="34"/>
      <c r="C35" s="34" t="s">
        <v>4627</v>
      </c>
      <c r="D35" s="2217" t="s">
        <v>4619</v>
      </c>
      <c r="E35" s="35">
        <f t="shared" si="7"/>
        <v>188.35</v>
      </c>
      <c r="F35" s="36"/>
      <c r="G35" s="37">
        <f t="shared" si="8"/>
        <v>821.83999999999992</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821.83999999999992</v>
      </c>
      <c r="AD35" s="40"/>
      <c r="AE35" s="40"/>
      <c r="AF35" s="40"/>
      <c r="AG35" s="40"/>
      <c r="AH35" s="40"/>
      <c r="AI35" s="40"/>
      <c r="AJ35" s="40"/>
      <c r="AK35" s="40"/>
      <c r="AL35" s="40">
        <f>553.56+268.28</f>
        <v>821.83999999999992</v>
      </c>
      <c r="AM35" s="40"/>
      <c r="AN35" s="40"/>
      <c r="AO35" s="40"/>
      <c r="AP35" s="40"/>
      <c r="AQ35" s="40"/>
      <c r="AR35" s="40"/>
      <c r="AS35" s="40"/>
      <c r="AT35" s="41"/>
      <c r="AU35" s="2218"/>
      <c r="AV35" s="1794">
        <f t="shared" si="11"/>
        <v>0</v>
      </c>
      <c r="AW35" s="1794">
        <f t="shared" si="12"/>
        <v>0</v>
      </c>
      <c r="AX35" s="1794" t="str">
        <f t="shared" si="13"/>
        <v>9-10#配套设备</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28.5">
      <c r="A36" s="9"/>
      <c r="B36" s="34"/>
      <c r="C36" s="34" t="s">
        <v>4628</v>
      </c>
      <c r="D36" s="2217" t="s">
        <v>4619</v>
      </c>
      <c r="E36" s="35">
        <f t="shared" si="7"/>
        <v>139.26</v>
      </c>
      <c r="F36" s="36"/>
      <c r="G36" s="37">
        <f t="shared" si="8"/>
        <v>607.63</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607.63</v>
      </c>
      <c r="AD36" s="40"/>
      <c r="AE36" s="40"/>
      <c r="AF36" s="40"/>
      <c r="AG36" s="40"/>
      <c r="AH36" s="40">
        <v>185.9</v>
      </c>
      <c r="AI36" s="40"/>
      <c r="AJ36" s="40"/>
      <c r="AK36" s="40"/>
      <c r="AL36" s="40">
        <f>607.63-185.9</f>
        <v>421.73</v>
      </c>
      <c r="AM36" s="40"/>
      <c r="AN36" s="40"/>
      <c r="AO36" s="40"/>
      <c r="AP36" s="40"/>
      <c r="AQ36" s="40"/>
      <c r="AR36" s="40"/>
      <c r="AS36" s="40"/>
      <c r="AT36" s="41"/>
      <c r="AU36" s="2218"/>
      <c r="AV36" s="1794">
        <f t="shared" si="11"/>
        <v>0</v>
      </c>
      <c r="AW36" s="1794">
        <f t="shared" si="12"/>
        <v>0</v>
      </c>
      <c r="AX36" s="1794" t="str">
        <f t="shared" si="13"/>
        <v>1、2、4#配套设备</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28.5">
      <c r="A37" s="9"/>
      <c r="B37" s="34"/>
      <c r="C37" s="34" t="s">
        <v>4629</v>
      </c>
      <c r="D37" s="2217" t="s">
        <v>4619</v>
      </c>
      <c r="E37" s="35">
        <f t="shared" si="7"/>
        <v>136.33000000000001</v>
      </c>
      <c r="F37" s="36"/>
      <c r="G37" s="37">
        <f t="shared" si="8"/>
        <v>594.86</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594.86</v>
      </c>
      <c r="AD37" s="40"/>
      <c r="AE37" s="40"/>
      <c r="AF37" s="40"/>
      <c r="AG37" s="40"/>
      <c r="AH37" s="40"/>
      <c r="AI37" s="40"/>
      <c r="AJ37" s="40"/>
      <c r="AK37" s="40"/>
      <c r="AL37" s="40">
        <f>413.75+181.11</f>
        <v>594.86</v>
      </c>
      <c r="AM37" s="40"/>
      <c r="AN37" s="40"/>
      <c r="AO37" s="40"/>
      <c r="AP37" s="40"/>
      <c r="AQ37" s="40"/>
      <c r="AR37" s="40"/>
      <c r="AS37" s="40"/>
      <c r="AT37" s="41"/>
      <c r="AU37" s="2218"/>
      <c r="AV37" s="1794">
        <f t="shared" si="11"/>
        <v>0</v>
      </c>
      <c r="AW37" s="1794">
        <f t="shared" si="12"/>
        <v>0</v>
      </c>
      <c r="AX37" s="1794" t="str">
        <f t="shared" si="13"/>
        <v>13#配套设备</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28.5">
      <c r="A38" s="9"/>
      <c r="B38" s="34"/>
      <c r="C38" s="34" t="s">
        <v>4630</v>
      </c>
      <c r="D38" s="2217" t="s">
        <v>4619</v>
      </c>
      <c r="E38" s="35">
        <f t="shared" si="7"/>
        <v>130.05000000000001</v>
      </c>
      <c r="F38" s="36"/>
      <c r="G38" s="37">
        <f t="shared" si="8"/>
        <v>567.47</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567.47</v>
      </c>
      <c r="AD38" s="40"/>
      <c r="AE38" s="40"/>
      <c r="AF38" s="40"/>
      <c r="AG38" s="40"/>
      <c r="AH38" s="40"/>
      <c r="AI38" s="40"/>
      <c r="AJ38" s="40"/>
      <c r="AK38" s="40"/>
      <c r="AL38" s="40">
        <f>299.19+268.28</f>
        <v>567.47</v>
      </c>
      <c r="AM38" s="40"/>
      <c r="AN38" s="40"/>
      <c r="AO38" s="40"/>
      <c r="AP38" s="40"/>
      <c r="AQ38" s="40"/>
      <c r="AR38" s="40"/>
      <c r="AS38" s="40"/>
      <c r="AT38" s="41"/>
      <c r="AU38" s="2218"/>
      <c r="AV38" s="1794">
        <f t="shared" si="11"/>
        <v>0</v>
      </c>
      <c r="AW38" s="1794">
        <f t="shared" si="12"/>
        <v>0</v>
      </c>
      <c r="AX38" s="1794" t="str">
        <f t="shared" si="13"/>
        <v>14-15#配套设备</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28.5">
      <c r="A39" s="9"/>
      <c r="B39" s="34"/>
      <c r="C39" s="34" t="s">
        <v>4631</v>
      </c>
      <c r="D39" s="2217" t="s">
        <v>4619</v>
      </c>
      <c r="E39" s="35">
        <f t="shared" si="7"/>
        <v>136.33000000000001</v>
      </c>
      <c r="F39" s="36"/>
      <c r="G39" s="37">
        <f t="shared" si="8"/>
        <v>594.86</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594.86</v>
      </c>
      <c r="AD39" s="40"/>
      <c r="AE39" s="40"/>
      <c r="AF39" s="40"/>
      <c r="AG39" s="40"/>
      <c r="AH39" s="40"/>
      <c r="AI39" s="40"/>
      <c r="AJ39" s="40"/>
      <c r="AK39" s="40"/>
      <c r="AL39" s="40">
        <f>413.75+181.11</f>
        <v>594.86</v>
      </c>
      <c r="AM39" s="40"/>
      <c r="AN39" s="40"/>
      <c r="AO39" s="40"/>
      <c r="AP39" s="40"/>
      <c r="AQ39" s="40"/>
      <c r="AR39" s="40"/>
      <c r="AS39" s="40"/>
      <c r="AT39" s="41"/>
      <c r="AU39" s="2218"/>
      <c r="AV39" s="1794">
        <f t="shared" si="11"/>
        <v>0</v>
      </c>
      <c r="AW39" s="1794">
        <f t="shared" si="12"/>
        <v>0</v>
      </c>
      <c r="AX39" s="1794" t="str">
        <f t="shared" si="13"/>
        <v>16#配套设备</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28.5">
      <c r="A40" s="9"/>
      <c r="B40" s="34"/>
      <c r="C40" s="34" t="s">
        <v>4632</v>
      </c>
      <c r="D40" s="2217" t="s">
        <v>4619</v>
      </c>
      <c r="E40" s="35">
        <f t="shared" si="7"/>
        <v>130.05000000000001</v>
      </c>
      <c r="F40" s="36"/>
      <c r="G40" s="37">
        <f t="shared" si="8"/>
        <v>567.47</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567.47</v>
      </c>
      <c r="AD40" s="40"/>
      <c r="AE40" s="40"/>
      <c r="AF40" s="40"/>
      <c r="AG40" s="40"/>
      <c r="AH40" s="40"/>
      <c r="AI40" s="40"/>
      <c r="AJ40" s="40"/>
      <c r="AK40" s="40"/>
      <c r="AL40" s="40">
        <f>299.19+268.28</f>
        <v>567.47</v>
      </c>
      <c r="AM40" s="40"/>
      <c r="AN40" s="40"/>
      <c r="AO40" s="40"/>
      <c r="AP40" s="40"/>
      <c r="AQ40" s="40"/>
      <c r="AR40" s="40"/>
      <c r="AS40" s="40"/>
      <c r="AT40" s="41"/>
      <c r="AU40" s="2218"/>
      <c r="AV40" s="1794">
        <f t="shared" si="11"/>
        <v>0</v>
      </c>
      <c r="AW40" s="1794">
        <f t="shared" si="12"/>
        <v>0</v>
      </c>
      <c r="AX40" s="1794" t="str">
        <f t="shared" si="13"/>
        <v>17-18#配套设备</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28.5">
      <c r="A41" s="9"/>
      <c r="B41" s="34"/>
      <c r="C41" s="34" t="s">
        <v>4633</v>
      </c>
      <c r="D41" s="2217" t="s">
        <v>4619</v>
      </c>
      <c r="E41" s="35">
        <f t="shared" si="7"/>
        <v>150.16</v>
      </c>
      <c r="F41" s="36"/>
      <c r="G41" s="37">
        <f t="shared" si="8"/>
        <v>655.22</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655.22</v>
      </c>
      <c r="AD41" s="40">
        <f>200+136.8</f>
        <v>336.8</v>
      </c>
      <c r="AE41" s="40"/>
      <c r="AF41" s="40"/>
      <c r="AG41" s="40"/>
      <c r="AH41" s="40">
        <v>35.57</v>
      </c>
      <c r="AI41" s="40"/>
      <c r="AJ41" s="40"/>
      <c r="AK41" s="40"/>
      <c r="AL41" s="40">
        <f>40.49+242.36</f>
        <v>282.85000000000002</v>
      </c>
      <c r="AM41" s="40"/>
      <c r="AN41" s="40"/>
      <c r="AO41" s="40"/>
      <c r="AP41" s="40"/>
      <c r="AQ41" s="40"/>
      <c r="AR41" s="40"/>
      <c r="AS41" s="40"/>
      <c r="AT41" s="41"/>
      <c r="AU41" s="2218"/>
      <c r="AV41" s="1794">
        <f t="shared" si="11"/>
        <v>0</v>
      </c>
      <c r="AW41" s="1794">
        <f t="shared" si="12"/>
        <v>0</v>
      </c>
      <c r="AX41" s="1794" t="str">
        <f t="shared" si="13"/>
        <v>19-20#配套设备</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algorithmName="SHA-512" hashValue="Y3SJ+f4FaUHvKdEX6kk0UiRigfXRn/3ha5HytS4effNcZwQkmUJ5d0bm0CvQmA64j6bKLs8jkW4pWN9uLLokgg==" saltValue="M/q4hMv7p0ZiZPHogrltIA==" spinCount="100000"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81640625" style="3" customWidth="1"/>
    <col min="4" max="7" width="9.453125" style="3" bestFit="1" customWidth="1"/>
    <col min="8" max="13" width="9.08984375" style="3" bestFit="1" customWidth="1"/>
    <col min="14" max="16384" width="9" style="3"/>
  </cols>
  <sheetData>
    <row r="1" spans="1:13" ht="1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45">
      <c r="A3" s="3054"/>
      <c r="B3" s="3054"/>
      <c r="C3" s="3054"/>
      <c r="D3" s="3055"/>
      <c r="E3" s="3055"/>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980B6-B003-414D-80D6-CB4779AD216C}">
  <sheetPr>
    <tabColor rgb="FFFF0000"/>
  </sheetPr>
  <dimension ref="A1:P1350"/>
  <sheetViews>
    <sheetView topLeftCell="E1" workbookViewId="0">
      <selection activeCell="G16" sqref="G16"/>
    </sheetView>
  </sheetViews>
  <sheetFormatPr defaultColWidth="9.81640625" defaultRowHeight="14"/>
  <cols>
    <col min="1" max="1" width="9.81640625" style="2961"/>
    <col min="2" max="2" width="21.90625" style="2961" customWidth="1"/>
    <col min="3" max="4" width="9.81640625" style="2961"/>
    <col min="5" max="5" width="48.08984375" style="2961" customWidth="1"/>
    <col min="6" max="7" width="9.81640625" style="2961"/>
    <col min="8" max="8" width="14.36328125" style="2961" customWidth="1"/>
    <col min="9" max="12" width="9.81640625" style="2961"/>
    <col min="13" max="13" width="23.08984375" style="2961" customWidth="1"/>
    <col min="14" max="16384" width="9.81640625" style="2961"/>
  </cols>
  <sheetData>
    <row r="1" spans="1:15" s="2960" customFormat="1" ht="24" customHeight="1">
      <c r="A1" s="3056" t="s">
        <v>3091</v>
      </c>
      <c r="B1" s="3056"/>
      <c r="C1" s="3056"/>
      <c r="D1" s="3056"/>
      <c r="E1" s="3056"/>
      <c r="F1" s="3056"/>
      <c r="H1" s="2960" t="s">
        <v>4588</v>
      </c>
    </row>
    <row r="2" spans="1:15" s="2960" customFormat="1" ht="22" customHeight="1">
      <c r="A2" s="2960" t="s">
        <v>3092</v>
      </c>
      <c r="B2" s="2960" t="s">
        <v>3093</v>
      </c>
      <c r="C2" s="2960" t="s">
        <v>3094</v>
      </c>
      <c r="D2" s="2960" t="s">
        <v>3095</v>
      </c>
      <c r="E2" s="2960" t="s">
        <v>3096</v>
      </c>
      <c r="F2" s="2960" t="s">
        <v>3097</v>
      </c>
      <c r="H2" s="2960" t="s">
        <v>4589</v>
      </c>
      <c r="I2" s="2960" t="s">
        <v>4591</v>
      </c>
      <c r="J2" s="2960" t="s">
        <v>4592</v>
      </c>
      <c r="K2" s="2960" t="s">
        <v>4594</v>
      </c>
      <c r="M2" s="2960" t="s">
        <v>4634</v>
      </c>
    </row>
    <row r="3" spans="1:15">
      <c r="A3" s="2961">
        <v>1</v>
      </c>
      <c r="B3" s="2961" t="s">
        <v>3098</v>
      </c>
      <c r="D3" s="2961">
        <v>103</v>
      </c>
      <c r="E3" s="2961" t="s">
        <v>3099</v>
      </c>
      <c r="F3" s="2961">
        <v>96.45</v>
      </c>
      <c r="H3" s="2962" t="s">
        <v>4590</v>
      </c>
      <c r="I3" s="2962" t="s">
        <v>4593</v>
      </c>
      <c r="J3" s="2961">
        <f>SUM(F3:F94,F212:F283)</f>
        <v>15275.230000000016</v>
      </c>
      <c r="K3" s="2961">
        <f>COUNT(F3:F94,F212:F283)</f>
        <v>164</v>
      </c>
      <c r="M3" s="2961" t="str">
        <f>M5</f>
        <v>封顶、外装完成、内装中</v>
      </c>
      <c r="N3" s="2976">
        <v>0.65</v>
      </c>
      <c r="O3" s="2961">
        <f>N3*J3</f>
        <v>9928.8995000000104</v>
      </c>
    </row>
    <row r="4" spans="1:15">
      <c r="A4" s="2961">
        <v>2</v>
      </c>
      <c r="B4" s="2961" t="s">
        <v>3098</v>
      </c>
      <c r="D4" s="2961">
        <v>104</v>
      </c>
      <c r="E4" s="2961" t="s">
        <v>3100</v>
      </c>
      <c r="F4" s="2961">
        <v>85.06</v>
      </c>
      <c r="H4" s="2962" t="s">
        <v>4598</v>
      </c>
      <c r="I4" s="2962" t="s">
        <v>4599</v>
      </c>
      <c r="J4" s="2961">
        <f>SUM(F95:F100,F403:F406)</f>
        <v>961.53000000000009</v>
      </c>
      <c r="K4" s="2961">
        <f>COUNT(F95:F100,F403:F406)</f>
        <v>10</v>
      </c>
      <c r="M4" s="2962" t="s">
        <v>4637</v>
      </c>
      <c r="N4" s="2976">
        <v>1</v>
      </c>
      <c r="O4" s="2961">
        <f t="shared" ref="O4:O11" si="0">N4*J4</f>
        <v>961.53000000000009</v>
      </c>
    </row>
    <row r="5" spans="1:15">
      <c r="A5" s="2961">
        <v>3</v>
      </c>
      <c r="B5" s="2961" t="s">
        <v>3098</v>
      </c>
      <c r="D5" s="2961">
        <v>201</v>
      </c>
      <c r="E5" s="2961" t="s">
        <v>3101</v>
      </c>
      <c r="F5" s="2961">
        <v>95.68</v>
      </c>
      <c r="H5" s="2962" t="s">
        <v>4600</v>
      </c>
      <c r="I5" s="2962" t="s">
        <v>4599</v>
      </c>
      <c r="J5" s="2961">
        <f>SUM(F101:F211)</f>
        <v>10468.400000000003</v>
      </c>
      <c r="K5" s="2961">
        <f>COUNT(F101:F211)</f>
        <v>111</v>
      </c>
      <c r="M5" s="2962" t="s">
        <v>4636</v>
      </c>
      <c r="N5" s="2976">
        <f>N3</f>
        <v>0.65</v>
      </c>
      <c r="O5" s="2961">
        <f t="shared" si="0"/>
        <v>6804.4600000000028</v>
      </c>
    </row>
    <row r="6" spans="1:15">
      <c r="A6" s="2961">
        <v>4</v>
      </c>
      <c r="B6" s="2961" t="s">
        <v>3098</v>
      </c>
      <c r="D6" s="2961">
        <v>202</v>
      </c>
      <c r="E6" s="2961" t="s">
        <v>3102</v>
      </c>
      <c r="F6" s="2961">
        <v>83.97</v>
      </c>
      <c r="H6" s="2962" t="s">
        <v>4601</v>
      </c>
      <c r="I6" s="2962" t="s">
        <v>4599</v>
      </c>
      <c r="J6" s="2961">
        <f>SUM(F284:F402)</f>
        <v>11257.770000000015</v>
      </c>
      <c r="K6" s="2961">
        <f>COUNT(F284:F402)</f>
        <v>119</v>
      </c>
      <c r="M6" s="2961" t="str">
        <f>M5</f>
        <v>封顶、外装完成、内装中</v>
      </c>
      <c r="N6" s="2976">
        <f>N3</f>
        <v>0.65</v>
      </c>
      <c r="O6" s="2961">
        <f t="shared" si="0"/>
        <v>7317.5505000000103</v>
      </c>
    </row>
    <row r="7" spans="1:15">
      <c r="A7" s="2961">
        <v>5</v>
      </c>
      <c r="B7" s="2961" t="s">
        <v>3098</v>
      </c>
      <c r="D7" s="2961">
        <v>203</v>
      </c>
      <c r="E7" s="2961" t="s">
        <v>3103</v>
      </c>
      <c r="F7" s="2961">
        <v>97.71</v>
      </c>
      <c r="H7" s="2962" t="s">
        <v>4602</v>
      </c>
      <c r="I7" s="2962" t="s">
        <v>4599</v>
      </c>
      <c r="J7" s="2961">
        <f>SUM(F407:F422)</f>
        <v>1514.46</v>
      </c>
      <c r="K7" s="2961">
        <f>COUNT(F407:F422)</f>
        <v>16</v>
      </c>
      <c r="M7" s="2962" t="s">
        <v>4637</v>
      </c>
      <c r="N7" s="2976">
        <v>1</v>
      </c>
      <c r="O7" s="2961">
        <f t="shared" si="0"/>
        <v>1514.46</v>
      </c>
    </row>
    <row r="8" spans="1:15">
      <c r="A8" s="2961">
        <v>6</v>
      </c>
      <c r="B8" s="2961" t="s">
        <v>3098</v>
      </c>
      <c r="D8" s="2961">
        <v>204</v>
      </c>
      <c r="E8" s="2961" t="s">
        <v>3104</v>
      </c>
      <c r="F8" s="2961">
        <v>85.37</v>
      </c>
      <c r="H8" s="2962" t="s">
        <v>4604</v>
      </c>
      <c r="I8" s="2962" t="s">
        <v>4599</v>
      </c>
      <c r="J8" s="2961">
        <f>SUM(F423:F435)</f>
        <v>1266.46</v>
      </c>
      <c r="K8" s="2961">
        <f>COUNT(F423:F435)</f>
        <v>13</v>
      </c>
      <c r="M8" s="2962" t="s">
        <v>4637</v>
      </c>
      <c r="N8" s="2976">
        <v>1</v>
      </c>
      <c r="O8" s="2961">
        <f t="shared" si="0"/>
        <v>1266.46</v>
      </c>
    </row>
    <row r="9" spans="1:15">
      <c r="A9" s="2961">
        <v>7</v>
      </c>
      <c r="B9" s="2961" t="s">
        <v>3098</v>
      </c>
      <c r="D9" s="2961">
        <v>205</v>
      </c>
      <c r="E9" s="2961" t="s">
        <v>3105</v>
      </c>
      <c r="F9" s="2961">
        <v>102.38</v>
      </c>
      <c r="H9" s="2962" t="s">
        <v>4603</v>
      </c>
      <c r="I9" s="2962" t="s">
        <v>4599</v>
      </c>
      <c r="J9" s="2961">
        <f>SUM(F436:F440)</f>
        <v>498.96000000000004</v>
      </c>
      <c r="K9" s="2961">
        <f>COUNT(F436:F440)</f>
        <v>5</v>
      </c>
      <c r="M9" s="2962" t="s">
        <v>4637</v>
      </c>
      <c r="N9" s="2976">
        <v>1</v>
      </c>
      <c r="O9" s="2961">
        <f t="shared" si="0"/>
        <v>498.96000000000004</v>
      </c>
    </row>
    <row r="10" spans="1:15">
      <c r="A10" s="2961">
        <v>8</v>
      </c>
      <c r="B10" s="2961" t="s">
        <v>3098</v>
      </c>
      <c r="D10" s="2961">
        <v>303</v>
      </c>
      <c r="E10" s="2961" t="s">
        <v>3106</v>
      </c>
      <c r="F10" s="2961">
        <v>97.71</v>
      </c>
      <c r="H10" s="2962" t="s">
        <v>4605</v>
      </c>
      <c r="I10" s="2962" t="s">
        <v>4599</v>
      </c>
      <c r="J10" s="2961">
        <f>SUM(F441:F526,F702:F787)</f>
        <v>16474.840000000004</v>
      </c>
      <c r="K10" s="2961">
        <f>COUNT(F441:F526,F702:F787)</f>
        <v>172</v>
      </c>
      <c r="L10" s="2964">
        <v>16246.87</v>
      </c>
      <c r="M10" s="2961" t="str">
        <f>M15</f>
        <v>封顶、外装完成</v>
      </c>
      <c r="N10" s="2976">
        <f>N3</f>
        <v>0.65</v>
      </c>
      <c r="O10" s="2961">
        <f t="shared" si="0"/>
        <v>10708.646000000002</v>
      </c>
    </row>
    <row r="11" spans="1:15">
      <c r="A11" s="2961">
        <v>9</v>
      </c>
      <c r="B11" s="2961" t="s">
        <v>3098</v>
      </c>
      <c r="D11" s="2961">
        <v>304</v>
      </c>
      <c r="E11" s="2961" t="s">
        <v>3107</v>
      </c>
      <c r="F11" s="2961">
        <v>85.37</v>
      </c>
      <c r="H11" s="2962" t="s">
        <v>4606</v>
      </c>
      <c r="I11" s="2962" t="s">
        <v>4599</v>
      </c>
      <c r="J11" s="2961">
        <f>SUM(F527:F701)</f>
        <v>16246.490000000016</v>
      </c>
      <c r="K11" s="2961">
        <f>COUNT(F527:F701)</f>
        <v>175</v>
      </c>
      <c r="M11" s="2961" t="str">
        <f>M5</f>
        <v>封顶、外装完成、内装中</v>
      </c>
      <c r="N11" s="2976">
        <f>N3</f>
        <v>0.65</v>
      </c>
      <c r="O11" s="2961">
        <f t="shared" si="0"/>
        <v>10560.21850000001</v>
      </c>
    </row>
    <row r="12" spans="1:15">
      <c r="A12" s="2961">
        <v>10</v>
      </c>
      <c r="B12" s="2961" t="s">
        <v>3098</v>
      </c>
      <c r="D12" s="2961">
        <v>305</v>
      </c>
      <c r="E12" s="2961" t="s">
        <v>3108</v>
      </c>
      <c r="F12" s="2961">
        <v>102.38</v>
      </c>
      <c r="H12" s="2962" t="s">
        <v>4607</v>
      </c>
      <c r="I12" s="2962" t="s">
        <v>4609</v>
      </c>
      <c r="J12" s="2961">
        <f>SUM(F788:F905)</f>
        <v>8485.49</v>
      </c>
      <c r="K12" s="2961">
        <f>COUNT(F788:F905)</f>
        <v>118</v>
      </c>
      <c r="M12" s="2961" t="str">
        <f>M13</f>
        <v>封顶、外装完成、内装中</v>
      </c>
      <c r="N12" s="2976">
        <f>N3</f>
        <v>0.65</v>
      </c>
    </row>
    <row r="13" spans="1:15">
      <c r="A13" s="2961">
        <v>11</v>
      </c>
      <c r="B13" s="2961" t="s">
        <v>3098</v>
      </c>
      <c r="D13" s="2961">
        <v>403</v>
      </c>
      <c r="E13" s="2961" t="s">
        <v>3109</v>
      </c>
      <c r="F13" s="2961">
        <v>97.71</v>
      </c>
      <c r="H13" s="2962" t="s">
        <v>4610</v>
      </c>
      <c r="I13" s="2962" t="s">
        <v>4609</v>
      </c>
      <c r="J13" s="2961">
        <f>SUM(F906:F1189)</f>
        <v>13511.409999999967</v>
      </c>
      <c r="K13" s="2961">
        <f>COUNT(F906:F1189)</f>
        <v>284</v>
      </c>
      <c r="M13" s="2962" t="s">
        <v>4636</v>
      </c>
      <c r="N13" s="2976">
        <f>N3</f>
        <v>0.65</v>
      </c>
    </row>
    <row r="14" spans="1:15">
      <c r="A14" s="2961">
        <v>12</v>
      </c>
      <c r="B14" s="2961" t="s">
        <v>3098</v>
      </c>
      <c r="D14" s="2961">
        <v>404</v>
      </c>
      <c r="E14" s="2961" t="s">
        <v>3110</v>
      </c>
      <c r="F14" s="2961">
        <v>85.37</v>
      </c>
      <c r="H14" s="2962" t="s">
        <v>4611</v>
      </c>
      <c r="I14" s="2962" t="s">
        <v>4609</v>
      </c>
      <c r="J14" s="2961">
        <f>SUM(F1190:F1195)</f>
        <v>433</v>
      </c>
      <c r="K14" s="2961">
        <f>COUNT(F1190:F1195)</f>
        <v>6</v>
      </c>
      <c r="M14" s="2961" t="str">
        <f>M13</f>
        <v>封顶、外装完成、内装中</v>
      </c>
      <c r="N14" s="2976">
        <f>N3</f>
        <v>0.65</v>
      </c>
    </row>
    <row r="15" spans="1:15">
      <c r="A15" s="2961">
        <v>13</v>
      </c>
      <c r="B15" s="2961" t="s">
        <v>3098</v>
      </c>
      <c r="D15" s="2961">
        <v>501</v>
      </c>
      <c r="E15" s="2961" t="s">
        <v>3111</v>
      </c>
      <c r="F15" s="2961">
        <v>95.68</v>
      </c>
      <c r="H15" s="2962" t="s">
        <v>4612</v>
      </c>
      <c r="I15" s="2962" t="s">
        <v>4613</v>
      </c>
      <c r="J15" s="2961">
        <f>SUM(F1196:F1314)</f>
        <v>23048.45</v>
      </c>
      <c r="K15" s="2961">
        <f>COUNT(F1196:F1314)</f>
        <v>119</v>
      </c>
      <c r="M15" s="2962" t="s">
        <v>4635</v>
      </c>
      <c r="N15" s="2976">
        <f>N3</f>
        <v>0.65</v>
      </c>
    </row>
    <row r="16" spans="1:15">
      <c r="A16" s="2961">
        <v>14</v>
      </c>
      <c r="B16" s="2961" t="s">
        <v>3098</v>
      </c>
      <c r="D16" s="2961">
        <v>502</v>
      </c>
      <c r="E16" s="2961" t="s">
        <v>3112</v>
      </c>
      <c r="F16" s="2961">
        <v>83.97</v>
      </c>
      <c r="H16" s="2962" t="s">
        <v>4614</v>
      </c>
      <c r="I16" s="2962" t="s">
        <v>4616</v>
      </c>
      <c r="J16" s="2961">
        <f>SUM(F1315:F1315)</f>
        <v>52.75</v>
      </c>
      <c r="K16" s="2961">
        <f>COUNT(F1315:F1315)</f>
        <v>1</v>
      </c>
      <c r="M16" s="2961" t="str">
        <f>M12</f>
        <v>封顶、外装完成、内装中</v>
      </c>
      <c r="N16" s="2976">
        <f>N3</f>
        <v>0.65</v>
      </c>
      <c r="O16" s="2961">
        <f>N16*J16</f>
        <v>34.287500000000001</v>
      </c>
    </row>
    <row r="17" spans="1:15">
      <c r="A17" s="2961">
        <v>15</v>
      </c>
      <c r="B17" s="2961" t="s">
        <v>3098</v>
      </c>
      <c r="D17" s="2961">
        <v>504</v>
      </c>
      <c r="E17" s="2961" t="s">
        <v>3113</v>
      </c>
      <c r="F17" s="2961">
        <v>85.37</v>
      </c>
      <c r="H17" s="2962" t="s">
        <v>4617</v>
      </c>
      <c r="I17" s="2962" t="s">
        <v>4616</v>
      </c>
      <c r="J17" s="2961">
        <f>SUM(F1316:F1321)</f>
        <v>253.34000000000003</v>
      </c>
      <c r="K17" s="2961">
        <f>COUNT(F1316:F1321)</f>
        <v>6</v>
      </c>
      <c r="M17" s="2974" t="s">
        <v>4638</v>
      </c>
      <c r="N17" s="2976">
        <v>0.55000000000000004</v>
      </c>
      <c r="O17" s="2961">
        <f t="shared" ref="O17:O23" si="1">N17*J17</f>
        <v>139.33700000000002</v>
      </c>
    </row>
    <row r="18" spans="1:15">
      <c r="A18" s="2961">
        <v>16</v>
      </c>
      <c r="B18" s="2961" t="s">
        <v>3098</v>
      </c>
      <c r="D18" s="2961">
        <v>505</v>
      </c>
      <c r="E18" s="2961" t="s">
        <v>3114</v>
      </c>
      <c r="F18" s="2961">
        <v>102.38</v>
      </c>
      <c r="H18" s="2961" t="str">
        <f>H7</f>
        <v>7-8#住宅楼</v>
      </c>
      <c r="I18" s="2962" t="s">
        <v>4616</v>
      </c>
      <c r="J18" s="2961">
        <f>SUM(F1322:F1323)</f>
        <v>351.49</v>
      </c>
      <c r="K18" s="2961">
        <f>COUNT(F1322:F1323)</f>
        <v>2</v>
      </c>
      <c r="M18" s="2961" t="str">
        <f>M7</f>
        <v>竣工</v>
      </c>
      <c r="N18" s="2976">
        <v>1</v>
      </c>
      <c r="O18" s="2961">
        <f t="shared" si="1"/>
        <v>351.49</v>
      </c>
    </row>
    <row r="19" spans="1:15">
      <c r="A19" s="2961">
        <v>17</v>
      </c>
      <c r="B19" s="2961" t="s">
        <v>3098</v>
      </c>
      <c r="D19" s="2961">
        <v>601</v>
      </c>
      <c r="E19" s="2961" t="s">
        <v>3115</v>
      </c>
      <c r="F19" s="2961">
        <v>95.68</v>
      </c>
      <c r="H19" s="2961" t="str">
        <f>H9</f>
        <v>11-12#住宅楼</v>
      </c>
      <c r="I19" s="2962" t="s">
        <v>4616</v>
      </c>
      <c r="J19" s="2961">
        <f>SUM(F1324)</f>
        <v>209.49</v>
      </c>
      <c r="K19" s="2961">
        <f>COUNT(F1324)</f>
        <v>1</v>
      </c>
      <c r="M19" s="2961" t="str">
        <f>M9</f>
        <v>竣工</v>
      </c>
      <c r="N19" s="2976">
        <v>1</v>
      </c>
      <c r="O19" s="2961">
        <f t="shared" si="1"/>
        <v>209.49</v>
      </c>
    </row>
    <row r="20" spans="1:15">
      <c r="A20" s="2961">
        <v>18</v>
      </c>
      <c r="B20" s="2961" t="s">
        <v>3098</v>
      </c>
      <c r="D20" s="2961">
        <v>602</v>
      </c>
      <c r="E20" s="2961" t="s">
        <v>3116</v>
      </c>
      <c r="F20" s="2961">
        <v>83.97</v>
      </c>
      <c r="H20" s="2961" t="str">
        <f>H13</f>
        <v>2#公寓楼</v>
      </c>
      <c r="I20" s="2962" t="s">
        <v>4616</v>
      </c>
      <c r="J20" s="2961">
        <f>SUM(F1325:F1326)</f>
        <v>346.82000000000005</v>
      </c>
      <c r="K20" s="2961">
        <f>COUNT(F1325:F1326)</f>
        <v>2</v>
      </c>
      <c r="M20" s="2961" t="str">
        <f>M13</f>
        <v>封顶、外装完成、内装中</v>
      </c>
      <c r="N20" s="2976">
        <f>N3</f>
        <v>0.65</v>
      </c>
      <c r="O20" s="2961">
        <f t="shared" si="1"/>
        <v>225.43300000000005</v>
      </c>
    </row>
    <row r="21" spans="1:15">
      <c r="A21" s="2961">
        <v>19</v>
      </c>
      <c r="B21" s="2961" t="s">
        <v>3098</v>
      </c>
      <c r="D21" s="2961">
        <v>603</v>
      </c>
      <c r="E21" s="2961" t="s">
        <v>3117</v>
      </c>
      <c r="F21" s="2961">
        <v>97.71</v>
      </c>
      <c r="H21" s="2961" t="str">
        <f>H15</f>
        <v>1#写字楼</v>
      </c>
      <c r="I21" s="2962" t="s">
        <v>4616</v>
      </c>
      <c r="J21" s="2961">
        <f>SUM(F1327:F1334)</f>
        <v>635.91999999999996</v>
      </c>
      <c r="K21" s="2961">
        <f>COUNT(F1327:F1334)</f>
        <v>8</v>
      </c>
      <c r="M21" s="2961" t="str">
        <f>M15</f>
        <v>封顶、外装完成</v>
      </c>
      <c r="N21" s="2976">
        <f>N3</f>
        <v>0.65</v>
      </c>
      <c r="O21" s="2961">
        <f t="shared" si="1"/>
        <v>413.34800000000001</v>
      </c>
    </row>
    <row r="22" spans="1:15">
      <c r="A22" s="2961">
        <v>20</v>
      </c>
      <c r="B22" s="2961" t="s">
        <v>3098</v>
      </c>
      <c r="D22" s="2961">
        <v>604</v>
      </c>
      <c r="E22" s="2961" t="s">
        <v>3118</v>
      </c>
      <c r="F22" s="2961">
        <v>85.37</v>
      </c>
      <c r="H22" s="2961" t="str">
        <f>H10</f>
        <v>19-20#住宅楼</v>
      </c>
      <c r="I22" s="2962" t="s">
        <v>4616</v>
      </c>
      <c r="J22" s="2961">
        <f>SUM(F1335:F1342)</f>
        <v>781.17999999999984</v>
      </c>
      <c r="K22" s="2961">
        <f>COUNT(F1335:F1342)</f>
        <v>8</v>
      </c>
      <c r="L22" s="2964">
        <v>780.82</v>
      </c>
      <c r="M22" s="2961" t="str">
        <f>M10</f>
        <v>封顶、外装完成</v>
      </c>
      <c r="N22" s="2976">
        <f>N3</f>
        <v>0.65</v>
      </c>
      <c r="O22" s="2961">
        <f t="shared" si="1"/>
        <v>507.76699999999994</v>
      </c>
    </row>
    <row r="23" spans="1:15">
      <c r="A23" s="2961">
        <v>21</v>
      </c>
      <c r="B23" s="2961" t="s">
        <v>3098</v>
      </c>
      <c r="D23" s="2961">
        <v>605</v>
      </c>
      <c r="E23" s="2961" t="s">
        <v>3119</v>
      </c>
      <c r="F23" s="2961">
        <v>102.38</v>
      </c>
      <c r="H23" s="2962" t="s">
        <v>4618</v>
      </c>
      <c r="I23" s="2962" t="s">
        <v>4615</v>
      </c>
      <c r="J23" s="2961">
        <f>F1343</f>
        <v>5366.11</v>
      </c>
      <c r="K23" s="2961">
        <v>1</v>
      </c>
      <c r="M23" s="2975" t="str">
        <f>M17</f>
        <v>封顶</v>
      </c>
      <c r="N23" s="2976">
        <f>N17</f>
        <v>0.55000000000000004</v>
      </c>
      <c r="O23" s="2961">
        <f t="shared" si="1"/>
        <v>2951.3605000000002</v>
      </c>
    </row>
    <row r="24" spans="1:15">
      <c r="A24" s="2961">
        <v>22</v>
      </c>
      <c r="B24" s="2961" t="s">
        <v>3098</v>
      </c>
      <c r="D24" s="2961">
        <v>701</v>
      </c>
      <c r="E24" s="2961" t="s">
        <v>3120</v>
      </c>
      <c r="F24" s="2961">
        <v>95.68</v>
      </c>
      <c r="J24" s="2961">
        <f>SUM(J3:J23)</f>
        <v>127439.59000000004</v>
      </c>
      <c r="K24" s="2961">
        <f>SUM(K3:K23)</f>
        <v>1341</v>
      </c>
    </row>
    <row r="25" spans="1:15">
      <c r="A25" s="2961">
        <v>23</v>
      </c>
      <c r="B25" s="2961" t="s">
        <v>3098</v>
      </c>
      <c r="D25" s="2961">
        <v>702</v>
      </c>
      <c r="E25" s="2961" t="s">
        <v>3121</v>
      </c>
      <c r="F25" s="2961">
        <v>83.97</v>
      </c>
    </row>
    <row r="26" spans="1:15">
      <c r="A26" s="2961">
        <v>24</v>
      </c>
      <c r="B26" s="2961" t="s">
        <v>3098</v>
      </c>
      <c r="D26" s="2961">
        <v>703</v>
      </c>
      <c r="E26" s="2961" t="s">
        <v>3122</v>
      </c>
      <c r="F26" s="2961">
        <v>97.71</v>
      </c>
    </row>
    <row r="27" spans="1:15">
      <c r="A27" s="2961">
        <v>25</v>
      </c>
      <c r="B27" s="2961" t="s">
        <v>3098</v>
      </c>
      <c r="D27" s="2961">
        <v>801</v>
      </c>
      <c r="E27" s="2961" t="s">
        <v>3123</v>
      </c>
      <c r="F27" s="2961">
        <v>95.68</v>
      </c>
    </row>
    <row r="28" spans="1:15">
      <c r="A28" s="2961">
        <v>26</v>
      </c>
      <c r="B28" s="2961" t="s">
        <v>3098</v>
      </c>
      <c r="D28" s="2961">
        <v>802</v>
      </c>
      <c r="E28" s="2961" t="s">
        <v>3124</v>
      </c>
      <c r="F28" s="2961">
        <v>83.97</v>
      </c>
    </row>
    <row r="29" spans="1:15">
      <c r="A29" s="2961">
        <v>27</v>
      </c>
      <c r="B29" s="2961" t="s">
        <v>3098</v>
      </c>
      <c r="D29" s="2961">
        <v>803</v>
      </c>
      <c r="E29" s="2961" t="s">
        <v>3125</v>
      </c>
      <c r="F29" s="2961">
        <v>97.71</v>
      </c>
    </row>
    <row r="30" spans="1:15">
      <c r="A30" s="2961">
        <v>28</v>
      </c>
      <c r="B30" s="2961" t="s">
        <v>3098</v>
      </c>
      <c r="D30" s="2961">
        <v>804</v>
      </c>
      <c r="E30" s="2961" t="s">
        <v>3126</v>
      </c>
      <c r="F30" s="2961">
        <v>85.37</v>
      </c>
    </row>
    <row r="31" spans="1:15">
      <c r="A31" s="2961">
        <v>29</v>
      </c>
      <c r="B31" s="2961" t="s">
        <v>3098</v>
      </c>
      <c r="D31" s="2961">
        <v>805</v>
      </c>
      <c r="E31" s="2961" t="s">
        <v>3127</v>
      </c>
      <c r="F31" s="2961">
        <v>102.38</v>
      </c>
    </row>
    <row r="32" spans="1:15">
      <c r="A32" s="2961">
        <v>30</v>
      </c>
      <c r="B32" s="2961" t="s">
        <v>3098</v>
      </c>
      <c r="D32" s="2961">
        <v>901</v>
      </c>
      <c r="E32" s="2961" t="s">
        <v>3128</v>
      </c>
      <c r="F32" s="2961">
        <v>95.68</v>
      </c>
    </row>
    <row r="33" spans="1:6">
      <c r="A33" s="2961">
        <v>31</v>
      </c>
      <c r="B33" s="2961" t="s">
        <v>3098</v>
      </c>
      <c r="D33" s="2961">
        <v>903</v>
      </c>
      <c r="E33" s="2961" t="s">
        <v>3129</v>
      </c>
      <c r="F33" s="2961">
        <v>97.71</v>
      </c>
    </row>
    <row r="34" spans="1:6">
      <c r="A34" s="2961">
        <v>32</v>
      </c>
      <c r="B34" s="2961" t="s">
        <v>3098</v>
      </c>
      <c r="D34" s="2961">
        <v>904</v>
      </c>
      <c r="E34" s="2961" t="s">
        <v>3130</v>
      </c>
      <c r="F34" s="2961">
        <v>85.37</v>
      </c>
    </row>
    <row r="35" spans="1:6">
      <c r="A35" s="2961">
        <v>33</v>
      </c>
      <c r="B35" s="2961" t="s">
        <v>3098</v>
      </c>
      <c r="D35" s="2961">
        <v>905</v>
      </c>
      <c r="E35" s="2961" t="s">
        <v>3131</v>
      </c>
      <c r="F35" s="2961">
        <v>102.38</v>
      </c>
    </row>
    <row r="36" spans="1:6">
      <c r="A36" s="2961">
        <v>34</v>
      </c>
      <c r="B36" s="2961" t="s">
        <v>3098</v>
      </c>
      <c r="D36" s="2961">
        <v>1001</v>
      </c>
      <c r="E36" s="2961" t="s">
        <v>3132</v>
      </c>
      <c r="F36" s="2961">
        <v>95.68</v>
      </c>
    </row>
    <row r="37" spans="1:6">
      <c r="A37" s="2961">
        <v>35</v>
      </c>
      <c r="B37" s="2961" t="s">
        <v>3098</v>
      </c>
      <c r="D37" s="2961">
        <v>1002</v>
      </c>
      <c r="E37" s="2961" t="s">
        <v>3133</v>
      </c>
      <c r="F37" s="2961">
        <v>83.97</v>
      </c>
    </row>
    <row r="38" spans="1:6">
      <c r="A38" s="2961">
        <v>36</v>
      </c>
      <c r="B38" s="2961" t="s">
        <v>3098</v>
      </c>
      <c r="D38" s="2961">
        <v>1003</v>
      </c>
      <c r="E38" s="2961" t="s">
        <v>3134</v>
      </c>
      <c r="F38" s="2961">
        <v>97.71</v>
      </c>
    </row>
    <row r="39" spans="1:6">
      <c r="A39" s="2961">
        <v>37</v>
      </c>
      <c r="B39" s="2961" t="s">
        <v>3098</v>
      </c>
      <c r="D39" s="2961">
        <v>1004</v>
      </c>
      <c r="E39" s="2961" t="s">
        <v>3135</v>
      </c>
      <c r="F39" s="2961">
        <v>85.37</v>
      </c>
    </row>
    <row r="40" spans="1:6">
      <c r="A40" s="2961">
        <v>38</v>
      </c>
      <c r="B40" s="2961" t="s">
        <v>3098</v>
      </c>
      <c r="D40" s="2961">
        <v>1005</v>
      </c>
      <c r="E40" s="2961" t="s">
        <v>3136</v>
      </c>
      <c r="F40" s="2961">
        <v>102.38</v>
      </c>
    </row>
    <row r="41" spans="1:6">
      <c r="A41" s="2961">
        <v>39</v>
      </c>
      <c r="B41" s="2961" t="s">
        <v>3098</v>
      </c>
      <c r="D41" s="2961">
        <v>1101</v>
      </c>
      <c r="E41" s="2961" t="s">
        <v>3137</v>
      </c>
      <c r="F41" s="2961">
        <v>95.68</v>
      </c>
    </row>
    <row r="42" spans="1:6">
      <c r="A42" s="2961">
        <v>40</v>
      </c>
      <c r="B42" s="2961" t="s">
        <v>3098</v>
      </c>
      <c r="D42" s="2961">
        <v>1103</v>
      </c>
      <c r="E42" s="2961" t="s">
        <v>3138</v>
      </c>
      <c r="F42" s="2961">
        <v>97.71</v>
      </c>
    </row>
    <row r="43" spans="1:6">
      <c r="A43" s="2961">
        <v>41</v>
      </c>
      <c r="B43" s="2961" t="s">
        <v>3098</v>
      </c>
      <c r="D43" s="2961">
        <v>1104</v>
      </c>
      <c r="E43" s="2961" t="s">
        <v>3139</v>
      </c>
      <c r="F43" s="2961">
        <v>85.37</v>
      </c>
    </row>
    <row r="44" spans="1:6">
      <c r="A44" s="2961">
        <v>42</v>
      </c>
      <c r="B44" s="2961" t="s">
        <v>3098</v>
      </c>
      <c r="D44" s="2961">
        <v>1105</v>
      </c>
      <c r="E44" s="2961" t="s">
        <v>3140</v>
      </c>
      <c r="F44" s="2961">
        <v>102.38</v>
      </c>
    </row>
    <row r="45" spans="1:6">
      <c r="A45" s="2961">
        <v>43</v>
      </c>
      <c r="B45" s="2961" t="s">
        <v>3098</v>
      </c>
      <c r="D45" s="2961">
        <v>1201</v>
      </c>
      <c r="E45" s="2961" t="s">
        <v>3141</v>
      </c>
      <c r="F45" s="2961">
        <v>95.68</v>
      </c>
    </row>
    <row r="46" spans="1:6">
      <c r="A46" s="2961">
        <v>44</v>
      </c>
      <c r="B46" s="2961" t="s">
        <v>3098</v>
      </c>
      <c r="D46" s="2961">
        <v>1202</v>
      </c>
      <c r="E46" s="2961" t="s">
        <v>3142</v>
      </c>
      <c r="F46" s="2961">
        <v>83.97</v>
      </c>
    </row>
    <row r="47" spans="1:6">
      <c r="A47" s="2961">
        <v>45</v>
      </c>
      <c r="B47" s="2961" t="s">
        <v>3098</v>
      </c>
      <c r="D47" s="2961">
        <v>1203</v>
      </c>
      <c r="E47" s="2961" t="s">
        <v>3143</v>
      </c>
      <c r="F47" s="2961">
        <v>97.71</v>
      </c>
    </row>
    <row r="48" spans="1:6">
      <c r="A48" s="2961">
        <v>46</v>
      </c>
      <c r="B48" s="2961" t="s">
        <v>3098</v>
      </c>
      <c r="D48" s="2961">
        <v>1204</v>
      </c>
      <c r="E48" s="2961" t="s">
        <v>3144</v>
      </c>
      <c r="F48" s="2961">
        <v>85.37</v>
      </c>
    </row>
    <row r="49" spans="1:6">
      <c r="A49" s="2961">
        <v>47</v>
      </c>
      <c r="B49" s="2961" t="s">
        <v>3098</v>
      </c>
      <c r="D49" s="2961">
        <v>1205</v>
      </c>
      <c r="E49" s="2961" t="s">
        <v>3145</v>
      </c>
      <c r="F49" s="2961">
        <v>102.38</v>
      </c>
    </row>
    <row r="50" spans="1:6">
      <c r="A50" s="2961">
        <v>48</v>
      </c>
      <c r="B50" s="2961" t="s">
        <v>3098</v>
      </c>
      <c r="D50" s="2961">
        <v>1301</v>
      </c>
      <c r="E50" s="2961" t="s">
        <v>3146</v>
      </c>
      <c r="F50" s="2961">
        <v>95.68</v>
      </c>
    </row>
    <row r="51" spans="1:6">
      <c r="A51" s="2961">
        <v>49</v>
      </c>
      <c r="B51" s="2961" t="s">
        <v>3098</v>
      </c>
      <c r="D51" s="2961">
        <v>1302</v>
      </c>
      <c r="E51" s="2961" t="s">
        <v>3147</v>
      </c>
      <c r="F51" s="2961">
        <v>83.97</v>
      </c>
    </row>
    <row r="52" spans="1:6">
      <c r="A52" s="2961">
        <v>50</v>
      </c>
      <c r="B52" s="2961" t="s">
        <v>3098</v>
      </c>
      <c r="D52" s="2961">
        <v>1303</v>
      </c>
      <c r="E52" s="2961" t="s">
        <v>3148</v>
      </c>
      <c r="F52" s="2961">
        <v>97.71</v>
      </c>
    </row>
    <row r="53" spans="1:6">
      <c r="A53" s="2961">
        <v>51</v>
      </c>
      <c r="B53" s="2961" t="s">
        <v>3098</v>
      </c>
      <c r="D53" s="2961">
        <v>1304</v>
      </c>
      <c r="E53" s="2961" t="s">
        <v>3149</v>
      </c>
      <c r="F53" s="2961">
        <v>85.37</v>
      </c>
    </row>
    <row r="54" spans="1:6">
      <c r="A54" s="2961">
        <v>52</v>
      </c>
      <c r="B54" s="2961" t="s">
        <v>3098</v>
      </c>
      <c r="D54" s="2961">
        <v>1305</v>
      </c>
      <c r="E54" s="2961" t="s">
        <v>3150</v>
      </c>
      <c r="F54" s="2961">
        <v>102.38</v>
      </c>
    </row>
    <row r="55" spans="1:6">
      <c r="A55" s="2961">
        <v>53</v>
      </c>
      <c r="B55" s="2961" t="s">
        <v>3098</v>
      </c>
      <c r="D55" s="2961">
        <v>1401</v>
      </c>
      <c r="E55" s="2961" t="s">
        <v>3151</v>
      </c>
      <c r="F55" s="2961">
        <v>95.68</v>
      </c>
    </row>
    <row r="56" spans="1:6">
      <c r="A56" s="2961">
        <v>54</v>
      </c>
      <c r="B56" s="2961" t="s">
        <v>3098</v>
      </c>
      <c r="D56" s="2961">
        <v>1404</v>
      </c>
      <c r="E56" s="2961" t="s">
        <v>3152</v>
      </c>
      <c r="F56" s="2961">
        <v>85.37</v>
      </c>
    </row>
    <row r="57" spans="1:6">
      <c r="A57" s="2961">
        <v>55</v>
      </c>
      <c r="B57" s="2961" t="s">
        <v>3098</v>
      </c>
      <c r="D57" s="2961">
        <v>1501</v>
      </c>
      <c r="E57" s="2961" t="s">
        <v>3153</v>
      </c>
      <c r="F57" s="2961">
        <v>95.68</v>
      </c>
    </row>
    <row r="58" spans="1:6">
      <c r="A58" s="2961">
        <v>56</v>
      </c>
      <c r="B58" s="2961" t="s">
        <v>3098</v>
      </c>
      <c r="D58" s="2961">
        <v>1504</v>
      </c>
      <c r="E58" s="2961" t="s">
        <v>3154</v>
      </c>
      <c r="F58" s="2961">
        <v>85.37</v>
      </c>
    </row>
    <row r="59" spans="1:6">
      <c r="A59" s="2961">
        <v>57</v>
      </c>
      <c r="B59" s="2961" t="s">
        <v>3098</v>
      </c>
      <c r="D59" s="2961">
        <v>1505</v>
      </c>
      <c r="E59" s="2961" t="s">
        <v>3155</v>
      </c>
      <c r="F59" s="2961">
        <v>102.38</v>
      </c>
    </row>
    <row r="60" spans="1:6">
      <c r="A60" s="2961">
        <v>58</v>
      </c>
      <c r="B60" s="2961" t="s">
        <v>3098</v>
      </c>
      <c r="D60" s="2961">
        <v>1601</v>
      </c>
      <c r="E60" s="2961" t="s">
        <v>3156</v>
      </c>
      <c r="F60" s="2961">
        <v>95.68</v>
      </c>
    </row>
    <row r="61" spans="1:6">
      <c r="A61" s="2961">
        <v>59</v>
      </c>
      <c r="B61" s="2961" t="s">
        <v>3098</v>
      </c>
      <c r="D61" s="2961">
        <v>1602</v>
      </c>
      <c r="E61" s="2961" t="s">
        <v>3157</v>
      </c>
      <c r="F61" s="2961">
        <v>83.97</v>
      </c>
    </row>
    <row r="62" spans="1:6">
      <c r="A62" s="2961">
        <v>60</v>
      </c>
      <c r="B62" s="2961" t="s">
        <v>3098</v>
      </c>
      <c r="D62" s="2961">
        <v>1603</v>
      </c>
      <c r="E62" s="2961" t="s">
        <v>3158</v>
      </c>
      <c r="F62" s="2961">
        <v>97.71</v>
      </c>
    </row>
    <row r="63" spans="1:6">
      <c r="A63" s="2961">
        <v>61</v>
      </c>
      <c r="B63" s="2961" t="s">
        <v>3098</v>
      </c>
      <c r="D63" s="2961">
        <v>1604</v>
      </c>
      <c r="E63" s="2961" t="s">
        <v>3159</v>
      </c>
      <c r="F63" s="2961">
        <v>85.37</v>
      </c>
    </row>
    <row r="64" spans="1:6">
      <c r="A64" s="2961">
        <v>62</v>
      </c>
      <c r="B64" s="2961" t="s">
        <v>3098</v>
      </c>
      <c r="D64" s="2961">
        <v>1605</v>
      </c>
      <c r="E64" s="2961" t="s">
        <v>3160</v>
      </c>
      <c r="F64" s="2961">
        <v>102.38</v>
      </c>
    </row>
    <row r="65" spans="1:6">
      <c r="A65" s="2961">
        <v>63</v>
      </c>
      <c r="B65" s="2961" t="s">
        <v>3098</v>
      </c>
      <c r="D65" s="2961">
        <v>1701</v>
      </c>
      <c r="E65" s="2961" t="s">
        <v>3161</v>
      </c>
      <c r="F65" s="2961">
        <v>95.68</v>
      </c>
    </row>
    <row r="66" spans="1:6">
      <c r="A66" s="2961">
        <v>64</v>
      </c>
      <c r="B66" s="2961" t="s">
        <v>3098</v>
      </c>
      <c r="D66" s="2961">
        <v>1702</v>
      </c>
      <c r="E66" s="2961" t="s">
        <v>3162</v>
      </c>
      <c r="F66" s="2961">
        <v>83.97</v>
      </c>
    </row>
    <row r="67" spans="1:6">
      <c r="A67" s="2961">
        <v>65</v>
      </c>
      <c r="B67" s="2961" t="s">
        <v>3098</v>
      </c>
      <c r="D67" s="2961">
        <v>1703</v>
      </c>
      <c r="E67" s="2961" t="s">
        <v>3163</v>
      </c>
      <c r="F67" s="2961">
        <v>97.71</v>
      </c>
    </row>
    <row r="68" spans="1:6">
      <c r="A68" s="2961">
        <v>66</v>
      </c>
      <c r="B68" s="2961" t="s">
        <v>3098</v>
      </c>
      <c r="D68" s="2961">
        <v>1704</v>
      </c>
      <c r="E68" s="2961" t="s">
        <v>3164</v>
      </c>
      <c r="F68" s="2961">
        <v>85.37</v>
      </c>
    </row>
    <row r="69" spans="1:6">
      <c r="A69" s="2961">
        <v>67</v>
      </c>
      <c r="B69" s="2961" t="s">
        <v>3098</v>
      </c>
      <c r="D69" s="2961">
        <v>1705</v>
      </c>
      <c r="E69" s="2961" t="s">
        <v>3165</v>
      </c>
      <c r="F69" s="2961">
        <v>102.38</v>
      </c>
    </row>
    <row r="70" spans="1:6">
      <c r="A70" s="2961">
        <v>68</v>
      </c>
      <c r="B70" s="2961" t="s">
        <v>3098</v>
      </c>
      <c r="D70" s="2961">
        <v>1802</v>
      </c>
      <c r="E70" s="2961" t="s">
        <v>3166</v>
      </c>
      <c r="F70" s="2961">
        <v>83.97</v>
      </c>
    </row>
    <row r="71" spans="1:6">
      <c r="A71" s="2961">
        <v>69</v>
      </c>
      <c r="B71" s="2961" t="s">
        <v>3098</v>
      </c>
      <c r="D71" s="2961">
        <v>1803</v>
      </c>
      <c r="E71" s="2961" t="s">
        <v>3167</v>
      </c>
      <c r="F71" s="2961">
        <v>97.71</v>
      </c>
    </row>
    <row r="72" spans="1:6">
      <c r="A72" s="2961">
        <v>70</v>
      </c>
      <c r="B72" s="2961" t="s">
        <v>3098</v>
      </c>
      <c r="D72" s="2961">
        <v>1804</v>
      </c>
      <c r="E72" s="2961" t="s">
        <v>3168</v>
      </c>
      <c r="F72" s="2961">
        <v>85.37</v>
      </c>
    </row>
    <row r="73" spans="1:6">
      <c r="A73" s="2961">
        <v>71</v>
      </c>
      <c r="B73" s="2961" t="s">
        <v>3098</v>
      </c>
      <c r="D73" s="2961">
        <v>1805</v>
      </c>
      <c r="E73" s="2961" t="s">
        <v>3169</v>
      </c>
      <c r="F73" s="2961">
        <v>102.38</v>
      </c>
    </row>
    <row r="74" spans="1:6">
      <c r="A74" s="2961">
        <v>72</v>
      </c>
      <c r="B74" s="2961" t="s">
        <v>3098</v>
      </c>
      <c r="D74" s="2961">
        <v>1901</v>
      </c>
      <c r="E74" s="2961" t="s">
        <v>3170</v>
      </c>
      <c r="F74" s="2961">
        <v>95.68</v>
      </c>
    </row>
    <row r="75" spans="1:6">
      <c r="A75" s="2961">
        <v>73</v>
      </c>
      <c r="B75" s="2961" t="s">
        <v>3098</v>
      </c>
      <c r="D75" s="2961">
        <v>1902</v>
      </c>
      <c r="E75" s="2961" t="s">
        <v>3171</v>
      </c>
      <c r="F75" s="2961">
        <v>83.97</v>
      </c>
    </row>
    <row r="76" spans="1:6">
      <c r="A76" s="2961">
        <v>74</v>
      </c>
      <c r="B76" s="2961" t="s">
        <v>3098</v>
      </c>
      <c r="D76" s="2961">
        <v>1903</v>
      </c>
      <c r="E76" s="2961" t="s">
        <v>3172</v>
      </c>
      <c r="F76" s="2961">
        <v>97.71</v>
      </c>
    </row>
    <row r="77" spans="1:6">
      <c r="A77" s="2961">
        <v>75</v>
      </c>
      <c r="B77" s="2961" t="s">
        <v>3098</v>
      </c>
      <c r="D77" s="2961">
        <v>1904</v>
      </c>
      <c r="E77" s="2961" t="s">
        <v>3173</v>
      </c>
      <c r="F77" s="2961">
        <v>85.37</v>
      </c>
    </row>
    <row r="78" spans="1:6">
      <c r="A78" s="2961">
        <v>76</v>
      </c>
      <c r="B78" s="2961" t="s">
        <v>3098</v>
      </c>
      <c r="D78" s="2961">
        <v>2001</v>
      </c>
      <c r="E78" s="2961" t="s">
        <v>3174</v>
      </c>
      <c r="F78" s="2961">
        <v>95.68</v>
      </c>
    </row>
    <row r="79" spans="1:6">
      <c r="A79" s="2961">
        <v>77</v>
      </c>
      <c r="B79" s="2961" t="s">
        <v>3098</v>
      </c>
      <c r="D79" s="2961">
        <v>2003</v>
      </c>
      <c r="E79" s="2961" t="s">
        <v>3175</v>
      </c>
      <c r="F79" s="2961">
        <v>97.71</v>
      </c>
    </row>
    <row r="80" spans="1:6">
      <c r="A80" s="2961">
        <v>78</v>
      </c>
      <c r="B80" s="2961" t="s">
        <v>3098</v>
      </c>
      <c r="D80" s="2961">
        <v>2004</v>
      </c>
      <c r="E80" s="2961" t="s">
        <v>3176</v>
      </c>
      <c r="F80" s="2961">
        <v>85.37</v>
      </c>
    </row>
    <row r="81" spans="1:6">
      <c r="A81" s="2961">
        <v>79</v>
      </c>
      <c r="B81" s="2961" t="s">
        <v>3098</v>
      </c>
      <c r="D81" s="2961">
        <v>2005</v>
      </c>
      <c r="E81" s="2961" t="s">
        <v>3177</v>
      </c>
      <c r="F81" s="2961">
        <v>102.38</v>
      </c>
    </row>
    <row r="82" spans="1:6">
      <c r="A82" s="2961">
        <v>80</v>
      </c>
      <c r="B82" s="2961" t="s">
        <v>3098</v>
      </c>
      <c r="D82" s="2961">
        <v>2101</v>
      </c>
      <c r="E82" s="2961" t="s">
        <v>3178</v>
      </c>
      <c r="F82" s="2961">
        <v>95.68</v>
      </c>
    </row>
    <row r="83" spans="1:6">
      <c r="A83" s="2961">
        <v>81</v>
      </c>
      <c r="B83" s="2961" t="s">
        <v>3098</v>
      </c>
      <c r="D83" s="2961">
        <v>2102</v>
      </c>
      <c r="E83" s="2961" t="s">
        <v>3179</v>
      </c>
      <c r="F83" s="2961">
        <v>83.97</v>
      </c>
    </row>
    <row r="84" spans="1:6">
      <c r="A84" s="2961">
        <v>82</v>
      </c>
      <c r="B84" s="2961" t="s">
        <v>3098</v>
      </c>
      <c r="D84" s="2961">
        <v>2103</v>
      </c>
      <c r="E84" s="2961" t="s">
        <v>3180</v>
      </c>
      <c r="F84" s="2961">
        <v>97.71</v>
      </c>
    </row>
    <row r="85" spans="1:6">
      <c r="A85" s="2961">
        <v>83</v>
      </c>
      <c r="B85" s="2961" t="s">
        <v>3098</v>
      </c>
      <c r="D85" s="2961">
        <v>2105</v>
      </c>
      <c r="E85" s="2961" t="s">
        <v>3181</v>
      </c>
      <c r="F85" s="2961">
        <v>102.38</v>
      </c>
    </row>
    <row r="86" spans="1:6">
      <c r="A86" s="2961">
        <v>84</v>
      </c>
      <c r="B86" s="2961" t="s">
        <v>3098</v>
      </c>
      <c r="D86" s="2961">
        <v>2201</v>
      </c>
      <c r="E86" s="2961" t="s">
        <v>3182</v>
      </c>
      <c r="F86" s="2961">
        <v>95.68</v>
      </c>
    </row>
    <row r="87" spans="1:6">
      <c r="A87" s="2961">
        <v>85</v>
      </c>
      <c r="B87" s="2961" t="s">
        <v>3098</v>
      </c>
      <c r="D87" s="2961">
        <v>2202</v>
      </c>
      <c r="E87" s="2961" t="s">
        <v>3183</v>
      </c>
      <c r="F87" s="2961">
        <v>83.97</v>
      </c>
    </row>
    <row r="88" spans="1:6">
      <c r="A88" s="2961">
        <v>86</v>
      </c>
      <c r="B88" s="2961" t="s">
        <v>3098</v>
      </c>
      <c r="D88" s="2961">
        <v>2203</v>
      </c>
      <c r="E88" s="2961" t="s">
        <v>3184</v>
      </c>
      <c r="F88" s="2961">
        <v>97.71</v>
      </c>
    </row>
    <row r="89" spans="1:6">
      <c r="A89" s="2961">
        <v>87</v>
      </c>
      <c r="B89" s="2961" t="s">
        <v>3098</v>
      </c>
      <c r="D89" s="2961">
        <v>2204</v>
      </c>
      <c r="E89" s="2961" t="s">
        <v>3185</v>
      </c>
      <c r="F89" s="2961">
        <v>85.37</v>
      </c>
    </row>
    <row r="90" spans="1:6">
      <c r="A90" s="2961">
        <v>88</v>
      </c>
      <c r="B90" s="2961" t="s">
        <v>3098</v>
      </c>
      <c r="D90" s="2961">
        <v>2301</v>
      </c>
      <c r="E90" s="2961" t="s">
        <v>3186</v>
      </c>
      <c r="F90" s="2961">
        <v>95.68</v>
      </c>
    </row>
    <row r="91" spans="1:6">
      <c r="A91" s="2961">
        <v>89</v>
      </c>
      <c r="B91" s="2961" t="s">
        <v>3098</v>
      </c>
      <c r="D91" s="2961">
        <v>2302</v>
      </c>
      <c r="E91" s="2961" t="s">
        <v>3187</v>
      </c>
      <c r="F91" s="2961">
        <v>83.97</v>
      </c>
    </row>
    <row r="92" spans="1:6">
      <c r="A92" s="2961">
        <v>90</v>
      </c>
      <c r="B92" s="2961" t="s">
        <v>3098</v>
      </c>
      <c r="D92" s="2961">
        <v>2303</v>
      </c>
      <c r="E92" s="2961" t="s">
        <v>3188</v>
      </c>
      <c r="F92" s="2961">
        <v>97.71</v>
      </c>
    </row>
    <row r="93" spans="1:6">
      <c r="A93" s="2961">
        <v>91</v>
      </c>
      <c r="B93" s="2961" t="s">
        <v>3098</v>
      </c>
      <c r="D93" s="2961">
        <v>2304</v>
      </c>
      <c r="E93" s="2961" t="s">
        <v>3189</v>
      </c>
      <c r="F93" s="2961">
        <v>85.37</v>
      </c>
    </row>
    <row r="94" spans="1:6">
      <c r="A94" s="2961">
        <v>92</v>
      </c>
      <c r="B94" s="2961" t="s">
        <v>3098</v>
      </c>
      <c r="D94" s="2961">
        <v>2305</v>
      </c>
      <c r="E94" s="2961" t="s">
        <v>3190</v>
      </c>
      <c r="F94" s="2961">
        <v>102.38</v>
      </c>
    </row>
    <row r="95" spans="1:6">
      <c r="A95" s="2961">
        <v>93</v>
      </c>
      <c r="B95" s="2961" t="s">
        <v>3191</v>
      </c>
      <c r="D95" s="2961">
        <v>205</v>
      </c>
      <c r="E95" s="2961" t="s">
        <v>3192</v>
      </c>
      <c r="F95" s="2961">
        <v>102.68</v>
      </c>
    </row>
    <row r="96" spans="1:6">
      <c r="A96" s="2961">
        <v>94</v>
      </c>
      <c r="B96" s="2961" t="s">
        <v>3191</v>
      </c>
      <c r="D96" s="2961">
        <v>401</v>
      </c>
      <c r="E96" s="2961" t="s">
        <v>3193</v>
      </c>
      <c r="F96" s="2961">
        <v>95.91</v>
      </c>
    </row>
    <row r="97" spans="1:6">
      <c r="A97" s="2961">
        <v>95</v>
      </c>
      <c r="B97" s="2961" t="s">
        <v>3191</v>
      </c>
      <c r="D97" s="2961">
        <v>1601</v>
      </c>
      <c r="E97" s="2961" t="s">
        <v>3194</v>
      </c>
      <c r="F97" s="2961">
        <v>95.91</v>
      </c>
    </row>
    <row r="98" spans="1:6">
      <c r="A98" s="2961">
        <v>96</v>
      </c>
      <c r="B98" s="2961" t="s">
        <v>3191</v>
      </c>
      <c r="D98" s="2961">
        <v>2103</v>
      </c>
      <c r="E98" s="2961" t="s">
        <v>3195</v>
      </c>
      <c r="F98" s="2961">
        <v>97.91</v>
      </c>
    </row>
    <row r="99" spans="1:6">
      <c r="A99" s="2961">
        <v>97</v>
      </c>
      <c r="B99" s="2961" t="s">
        <v>3191</v>
      </c>
      <c r="D99" s="2961">
        <v>2303</v>
      </c>
      <c r="E99" s="2961" t="s">
        <v>3196</v>
      </c>
      <c r="F99" s="2961">
        <v>97.91</v>
      </c>
    </row>
    <row r="100" spans="1:6">
      <c r="A100" s="2961">
        <v>98</v>
      </c>
      <c r="B100" s="2961" t="s">
        <v>3191</v>
      </c>
      <c r="D100" s="2961">
        <v>2305</v>
      </c>
      <c r="E100" s="2961" t="s">
        <v>3197</v>
      </c>
      <c r="F100" s="2961">
        <v>102.68</v>
      </c>
    </row>
    <row r="101" spans="1:6">
      <c r="A101" s="2961">
        <v>99</v>
      </c>
      <c r="B101" s="2961" t="s">
        <v>3198</v>
      </c>
      <c r="D101" s="2961">
        <v>203</v>
      </c>
      <c r="E101" s="2961" t="s">
        <v>3199</v>
      </c>
      <c r="F101" s="2961">
        <v>108.41</v>
      </c>
    </row>
    <row r="102" spans="1:6">
      <c r="A102" s="2961">
        <v>100</v>
      </c>
      <c r="B102" s="2961" t="s">
        <v>3198</v>
      </c>
      <c r="D102" s="2961">
        <v>204</v>
      </c>
      <c r="E102" s="2961" t="s">
        <v>3200</v>
      </c>
      <c r="F102" s="2961">
        <v>107.33</v>
      </c>
    </row>
    <row r="103" spans="1:6">
      <c r="A103" s="2961">
        <v>101</v>
      </c>
      <c r="B103" s="2961" t="s">
        <v>3198</v>
      </c>
      <c r="D103" s="2961">
        <v>205</v>
      </c>
      <c r="E103" s="2961" t="s">
        <v>3201</v>
      </c>
      <c r="F103" s="2961">
        <v>85.29</v>
      </c>
    </row>
    <row r="104" spans="1:6">
      <c r="A104" s="2961">
        <v>102</v>
      </c>
      <c r="B104" s="2961" t="s">
        <v>3198</v>
      </c>
      <c r="D104" s="2961">
        <v>302</v>
      </c>
      <c r="E104" s="2961" t="s">
        <v>3202</v>
      </c>
      <c r="F104" s="2961">
        <v>85.29</v>
      </c>
    </row>
    <row r="105" spans="1:6">
      <c r="A105" s="2961">
        <v>103</v>
      </c>
      <c r="B105" s="2961" t="s">
        <v>3198</v>
      </c>
      <c r="D105" s="2961">
        <v>303</v>
      </c>
      <c r="E105" s="2961" t="s">
        <v>3203</v>
      </c>
      <c r="F105" s="2961">
        <v>108.41</v>
      </c>
    </row>
    <row r="106" spans="1:6">
      <c r="A106" s="2961">
        <v>104</v>
      </c>
      <c r="B106" s="2961" t="s">
        <v>3198</v>
      </c>
      <c r="D106" s="2961">
        <v>304</v>
      </c>
      <c r="E106" s="2961" t="s">
        <v>3204</v>
      </c>
      <c r="F106" s="2961">
        <v>107.33</v>
      </c>
    </row>
    <row r="107" spans="1:6">
      <c r="A107" s="2961">
        <v>105</v>
      </c>
      <c r="B107" s="2961" t="s">
        <v>3198</v>
      </c>
      <c r="D107" s="2961">
        <v>305</v>
      </c>
      <c r="E107" s="2961" t="s">
        <v>3205</v>
      </c>
      <c r="F107" s="2961">
        <v>85.29</v>
      </c>
    </row>
    <row r="108" spans="1:6">
      <c r="A108" s="2961">
        <v>106</v>
      </c>
      <c r="B108" s="2961" t="s">
        <v>3198</v>
      </c>
      <c r="D108" s="2961">
        <v>306</v>
      </c>
      <c r="E108" s="2961" t="s">
        <v>3206</v>
      </c>
      <c r="F108" s="2961">
        <v>90.64</v>
      </c>
    </row>
    <row r="109" spans="1:6">
      <c r="A109" s="2961">
        <v>107</v>
      </c>
      <c r="B109" s="2961" t="s">
        <v>3198</v>
      </c>
      <c r="D109" s="2961">
        <v>401</v>
      </c>
      <c r="E109" s="2961" t="s">
        <v>3207</v>
      </c>
      <c r="F109" s="2961">
        <v>90.64</v>
      </c>
    </row>
    <row r="110" spans="1:6">
      <c r="A110" s="2961">
        <v>108</v>
      </c>
      <c r="B110" s="2961" t="s">
        <v>3198</v>
      </c>
      <c r="D110" s="2961">
        <v>402</v>
      </c>
      <c r="E110" s="2961" t="s">
        <v>3208</v>
      </c>
      <c r="F110" s="2961">
        <v>85.29</v>
      </c>
    </row>
    <row r="111" spans="1:6">
      <c r="A111" s="2961">
        <v>109</v>
      </c>
      <c r="B111" s="2961" t="s">
        <v>3198</v>
      </c>
      <c r="D111" s="2961">
        <v>403</v>
      </c>
      <c r="E111" s="2961" t="s">
        <v>3209</v>
      </c>
      <c r="F111" s="2961">
        <v>108.41</v>
      </c>
    </row>
    <row r="112" spans="1:6">
      <c r="A112" s="2961">
        <v>110</v>
      </c>
      <c r="B112" s="2961" t="s">
        <v>3198</v>
      </c>
      <c r="D112" s="2961">
        <v>404</v>
      </c>
      <c r="E112" s="2961" t="s">
        <v>3210</v>
      </c>
      <c r="F112" s="2961">
        <v>107.33</v>
      </c>
    </row>
    <row r="113" spans="1:6">
      <c r="A113" s="2961">
        <v>111</v>
      </c>
      <c r="B113" s="2961" t="s">
        <v>3198</v>
      </c>
      <c r="D113" s="2961">
        <v>405</v>
      </c>
      <c r="E113" s="2961" t="s">
        <v>3211</v>
      </c>
      <c r="F113" s="2961">
        <v>85.29</v>
      </c>
    </row>
    <row r="114" spans="1:6">
      <c r="A114" s="2961">
        <v>112</v>
      </c>
      <c r="B114" s="2961" t="s">
        <v>3198</v>
      </c>
      <c r="D114" s="2961">
        <v>406</v>
      </c>
      <c r="E114" s="2961" t="s">
        <v>3212</v>
      </c>
      <c r="F114" s="2961">
        <v>90.64</v>
      </c>
    </row>
    <row r="115" spans="1:6">
      <c r="A115" s="2961">
        <v>113</v>
      </c>
      <c r="B115" s="2961" t="s">
        <v>3198</v>
      </c>
      <c r="D115" s="2961">
        <v>501</v>
      </c>
      <c r="E115" s="2961" t="s">
        <v>3213</v>
      </c>
      <c r="F115" s="2961">
        <v>90.64</v>
      </c>
    </row>
    <row r="116" spans="1:6">
      <c r="A116" s="2961">
        <v>114</v>
      </c>
      <c r="B116" s="2961" t="s">
        <v>3198</v>
      </c>
      <c r="D116" s="2961">
        <v>502</v>
      </c>
      <c r="E116" s="2961" t="s">
        <v>3214</v>
      </c>
      <c r="F116" s="2961">
        <v>85.29</v>
      </c>
    </row>
    <row r="117" spans="1:6">
      <c r="A117" s="2961">
        <v>115</v>
      </c>
      <c r="B117" s="2961" t="s">
        <v>3198</v>
      </c>
      <c r="D117" s="2961">
        <v>504</v>
      </c>
      <c r="E117" s="2961" t="s">
        <v>3215</v>
      </c>
      <c r="F117" s="2961">
        <v>107.33</v>
      </c>
    </row>
    <row r="118" spans="1:6">
      <c r="A118" s="2961">
        <v>116</v>
      </c>
      <c r="B118" s="2961" t="s">
        <v>3198</v>
      </c>
      <c r="D118" s="2961">
        <v>506</v>
      </c>
      <c r="E118" s="2961" t="s">
        <v>3216</v>
      </c>
      <c r="F118" s="2961">
        <v>90.64</v>
      </c>
    </row>
    <row r="119" spans="1:6">
      <c r="A119" s="2961">
        <v>117</v>
      </c>
      <c r="B119" s="2961" t="s">
        <v>3198</v>
      </c>
      <c r="D119" s="2961">
        <v>601</v>
      </c>
      <c r="E119" s="2961" t="s">
        <v>3217</v>
      </c>
      <c r="F119" s="2961">
        <v>90.64</v>
      </c>
    </row>
    <row r="120" spans="1:6">
      <c r="A120" s="2961">
        <v>118</v>
      </c>
      <c r="B120" s="2961" t="s">
        <v>3198</v>
      </c>
      <c r="D120" s="2961">
        <v>602</v>
      </c>
      <c r="E120" s="2961" t="s">
        <v>3218</v>
      </c>
      <c r="F120" s="2961">
        <v>85.29</v>
      </c>
    </row>
    <row r="121" spans="1:6">
      <c r="A121" s="2961">
        <v>119</v>
      </c>
      <c r="B121" s="2961" t="s">
        <v>3198</v>
      </c>
      <c r="D121" s="2961">
        <v>603</v>
      </c>
      <c r="E121" s="2961" t="s">
        <v>3219</v>
      </c>
      <c r="F121" s="2961">
        <v>108.41</v>
      </c>
    </row>
    <row r="122" spans="1:6">
      <c r="A122" s="2961">
        <v>120</v>
      </c>
      <c r="B122" s="2961" t="s">
        <v>3198</v>
      </c>
      <c r="D122" s="2961">
        <v>604</v>
      </c>
      <c r="E122" s="2961" t="s">
        <v>3220</v>
      </c>
      <c r="F122" s="2961">
        <v>107.33</v>
      </c>
    </row>
    <row r="123" spans="1:6">
      <c r="A123" s="2961">
        <v>121</v>
      </c>
      <c r="B123" s="2961" t="s">
        <v>3198</v>
      </c>
      <c r="D123" s="2961">
        <v>605</v>
      </c>
      <c r="E123" s="2961" t="s">
        <v>3221</v>
      </c>
      <c r="F123" s="2961">
        <v>85.29</v>
      </c>
    </row>
    <row r="124" spans="1:6">
      <c r="A124" s="2961">
        <v>122</v>
      </c>
      <c r="B124" s="2961" t="s">
        <v>3198</v>
      </c>
      <c r="D124" s="2961">
        <v>702</v>
      </c>
      <c r="E124" s="2961" t="s">
        <v>3222</v>
      </c>
      <c r="F124" s="2961">
        <v>85.29</v>
      </c>
    </row>
    <row r="125" spans="1:6">
      <c r="A125" s="2961">
        <v>123</v>
      </c>
      <c r="B125" s="2961" t="s">
        <v>3198</v>
      </c>
      <c r="D125" s="2961">
        <v>705</v>
      </c>
      <c r="E125" s="2961" t="s">
        <v>3223</v>
      </c>
      <c r="F125" s="2961">
        <v>85.29</v>
      </c>
    </row>
    <row r="126" spans="1:6">
      <c r="A126" s="2961">
        <v>124</v>
      </c>
      <c r="B126" s="2961" t="s">
        <v>3198</v>
      </c>
      <c r="D126" s="2961">
        <v>706</v>
      </c>
      <c r="E126" s="2961" t="s">
        <v>3224</v>
      </c>
      <c r="F126" s="2961">
        <v>90.64</v>
      </c>
    </row>
    <row r="127" spans="1:6">
      <c r="A127" s="2961">
        <v>125</v>
      </c>
      <c r="B127" s="2961" t="s">
        <v>3198</v>
      </c>
      <c r="D127" s="2961">
        <v>801</v>
      </c>
      <c r="E127" s="2961" t="s">
        <v>3225</v>
      </c>
      <c r="F127" s="2961">
        <v>90.64</v>
      </c>
    </row>
    <row r="128" spans="1:6">
      <c r="A128" s="2961">
        <v>126</v>
      </c>
      <c r="B128" s="2961" t="s">
        <v>3198</v>
      </c>
      <c r="D128" s="2961">
        <v>802</v>
      </c>
      <c r="E128" s="2961" t="s">
        <v>3226</v>
      </c>
      <c r="F128" s="2961">
        <v>85.29</v>
      </c>
    </row>
    <row r="129" spans="1:6">
      <c r="A129" s="2961">
        <v>127</v>
      </c>
      <c r="B129" s="2961" t="s">
        <v>3198</v>
      </c>
      <c r="D129" s="2961">
        <v>803</v>
      </c>
      <c r="E129" s="2961" t="s">
        <v>3227</v>
      </c>
      <c r="F129" s="2961">
        <v>108.41</v>
      </c>
    </row>
    <row r="130" spans="1:6">
      <c r="A130" s="2961">
        <v>128</v>
      </c>
      <c r="B130" s="2961" t="s">
        <v>3198</v>
      </c>
      <c r="D130" s="2961">
        <v>804</v>
      </c>
      <c r="E130" s="2961" t="s">
        <v>3228</v>
      </c>
      <c r="F130" s="2961">
        <v>107.33</v>
      </c>
    </row>
    <row r="131" spans="1:6">
      <c r="A131" s="2961">
        <v>129</v>
      </c>
      <c r="B131" s="2961" t="s">
        <v>3198</v>
      </c>
      <c r="D131" s="2961">
        <v>805</v>
      </c>
      <c r="E131" s="2961" t="s">
        <v>3229</v>
      </c>
      <c r="F131" s="2961">
        <v>85.29</v>
      </c>
    </row>
    <row r="132" spans="1:6">
      <c r="A132" s="2961">
        <v>130</v>
      </c>
      <c r="B132" s="2961" t="s">
        <v>3198</v>
      </c>
      <c r="D132" s="2961">
        <v>806</v>
      </c>
      <c r="E132" s="2961" t="s">
        <v>3230</v>
      </c>
      <c r="F132" s="2961">
        <v>90.64</v>
      </c>
    </row>
    <row r="133" spans="1:6">
      <c r="A133" s="2961">
        <v>131</v>
      </c>
      <c r="B133" s="2961" t="s">
        <v>3198</v>
      </c>
      <c r="D133" s="2961">
        <v>902</v>
      </c>
      <c r="E133" s="2961" t="s">
        <v>3231</v>
      </c>
      <c r="F133" s="2961">
        <v>85.29</v>
      </c>
    </row>
    <row r="134" spans="1:6">
      <c r="A134" s="2961">
        <v>132</v>
      </c>
      <c r="B134" s="2961" t="s">
        <v>3198</v>
      </c>
      <c r="D134" s="2961">
        <v>903</v>
      </c>
      <c r="E134" s="2961" t="s">
        <v>3232</v>
      </c>
      <c r="F134" s="2961">
        <v>108.41</v>
      </c>
    </row>
    <row r="135" spans="1:6">
      <c r="A135" s="2961">
        <v>133</v>
      </c>
      <c r="B135" s="2961" t="s">
        <v>3198</v>
      </c>
      <c r="D135" s="2961">
        <v>904</v>
      </c>
      <c r="E135" s="2961" t="s">
        <v>3233</v>
      </c>
      <c r="F135" s="2961">
        <v>107.33</v>
      </c>
    </row>
    <row r="136" spans="1:6">
      <c r="A136" s="2961">
        <v>134</v>
      </c>
      <c r="B136" s="2961" t="s">
        <v>3198</v>
      </c>
      <c r="D136" s="2961">
        <v>906</v>
      </c>
      <c r="E136" s="2961" t="s">
        <v>3234</v>
      </c>
      <c r="F136" s="2961">
        <v>90.64</v>
      </c>
    </row>
    <row r="137" spans="1:6">
      <c r="A137" s="2961">
        <v>135</v>
      </c>
      <c r="B137" s="2961" t="s">
        <v>3198</v>
      </c>
      <c r="D137" s="2961">
        <v>1001</v>
      </c>
      <c r="E137" s="2961" t="s">
        <v>3235</v>
      </c>
      <c r="F137" s="2961">
        <v>90.64</v>
      </c>
    </row>
    <row r="138" spans="1:6">
      <c r="A138" s="2961">
        <v>136</v>
      </c>
      <c r="B138" s="2961" t="s">
        <v>3198</v>
      </c>
      <c r="D138" s="2961">
        <v>1002</v>
      </c>
      <c r="E138" s="2961" t="s">
        <v>3236</v>
      </c>
      <c r="F138" s="2961">
        <v>85.29</v>
      </c>
    </row>
    <row r="139" spans="1:6">
      <c r="A139" s="2961">
        <v>137</v>
      </c>
      <c r="B139" s="2961" t="s">
        <v>3198</v>
      </c>
      <c r="D139" s="2961">
        <v>1003</v>
      </c>
      <c r="E139" s="2961" t="s">
        <v>3237</v>
      </c>
      <c r="F139" s="2961">
        <v>108.41</v>
      </c>
    </row>
    <row r="140" spans="1:6">
      <c r="A140" s="2961">
        <v>138</v>
      </c>
      <c r="B140" s="2961" t="s">
        <v>3198</v>
      </c>
      <c r="D140" s="2961">
        <v>1004</v>
      </c>
      <c r="E140" s="2961" t="s">
        <v>3238</v>
      </c>
      <c r="F140" s="2961">
        <v>107.33</v>
      </c>
    </row>
    <row r="141" spans="1:6">
      <c r="A141" s="2961">
        <v>139</v>
      </c>
      <c r="B141" s="2961" t="s">
        <v>3198</v>
      </c>
      <c r="D141" s="2961">
        <v>1005</v>
      </c>
      <c r="E141" s="2961" t="s">
        <v>3239</v>
      </c>
      <c r="F141" s="2961">
        <v>85.29</v>
      </c>
    </row>
    <row r="142" spans="1:6">
      <c r="A142" s="2961">
        <v>140</v>
      </c>
      <c r="B142" s="2961" t="s">
        <v>3198</v>
      </c>
      <c r="D142" s="2961">
        <v>1006</v>
      </c>
      <c r="E142" s="2961" t="s">
        <v>3240</v>
      </c>
      <c r="F142" s="2961">
        <v>90.64</v>
      </c>
    </row>
    <row r="143" spans="1:6">
      <c r="A143" s="2961">
        <v>141</v>
      </c>
      <c r="B143" s="2961" t="s">
        <v>3198</v>
      </c>
      <c r="D143" s="2961">
        <v>1101</v>
      </c>
      <c r="E143" s="2961" t="s">
        <v>3241</v>
      </c>
      <c r="F143" s="2961">
        <v>90.64</v>
      </c>
    </row>
    <row r="144" spans="1:6">
      <c r="A144" s="2961">
        <v>142</v>
      </c>
      <c r="B144" s="2961" t="s">
        <v>3198</v>
      </c>
      <c r="D144" s="2961">
        <v>1102</v>
      </c>
      <c r="E144" s="2961" t="s">
        <v>3242</v>
      </c>
      <c r="F144" s="2961">
        <v>85.29</v>
      </c>
    </row>
    <row r="145" spans="1:6">
      <c r="A145" s="2961">
        <v>143</v>
      </c>
      <c r="B145" s="2961" t="s">
        <v>3198</v>
      </c>
      <c r="D145" s="2961">
        <v>1103</v>
      </c>
      <c r="E145" s="2961" t="s">
        <v>3243</v>
      </c>
      <c r="F145" s="2961">
        <v>108.41</v>
      </c>
    </row>
    <row r="146" spans="1:6">
      <c r="A146" s="2961">
        <v>144</v>
      </c>
      <c r="B146" s="2961" t="s">
        <v>3198</v>
      </c>
      <c r="D146" s="2961">
        <v>1105</v>
      </c>
      <c r="E146" s="2961" t="s">
        <v>3244</v>
      </c>
      <c r="F146" s="2961">
        <v>85.29</v>
      </c>
    </row>
    <row r="147" spans="1:6">
      <c r="A147" s="2961">
        <v>145</v>
      </c>
      <c r="B147" s="2961" t="s">
        <v>3198</v>
      </c>
      <c r="D147" s="2961">
        <v>1106</v>
      </c>
      <c r="E147" s="2961" t="s">
        <v>3245</v>
      </c>
      <c r="F147" s="2961">
        <v>90.64</v>
      </c>
    </row>
    <row r="148" spans="1:6">
      <c r="A148" s="2961">
        <v>146</v>
      </c>
      <c r="B148" s="2961" t="s">
        <v>3198</v>
      </c>
      <c r="D148" s="2961">
        <v>1201</v>
      </c>
      <c r="E148" s="2961" t="s">
        <v>3246</v>
      </c>
      <c r="F148" s="2961">
        <v>90.64</v>
      </c>
    </row>
    <row r="149" spans="1:6">
      <c r="A149" s="2961">
        <v>147</v>
      </c>
      <c r="B149" s="2961" t="s">
        <v>3198</v>
      </c>
      <c r="D149" s="2961">
        <v>1202</v>
      </c>
      <c r="E149" s="2961" t="s">
        <v>3247</v>
      </c>
      <c r="F149" s="2961">
        <v>85.29</v>
      </c>
    </row>
    <row r="150" spans="1:6">
      <c r="A150" s="2961">
        <v>148</v>
      </c>
      <c r="B150" s="2961" t="s">
        <v>3198</v>
      </c>
      <c r="D150" s="2961">
        <v>1203</v>
      </c>
      <c r="E150" s="2961" t="s">
        <v>3248</v>
      </c>
      <c r="F150" s="2961">
        <v>108.41</v>
      </c>
    </row>
    <row r="151" spans="1:6">
      <c r="A151" s="2961">
        <v>149</v>
      </c>
      <c r="B151" s="2961" t="s">
        <v>3198</v>
      </c>
      <c r="D151" s="2961">
        <v>1204</v>
      </c>
      <c r="E151" s="2961" t="s">
        <v>3249</v>
      </c>
      <c r="F151" s="2961">
        <v>107.33</v>
      </c>
    </row>
    <row r="152" spans="1:6">
      <c r="A152" s="2961">
        <v>150</v>
      </c>
      <c r="B152" s="2961" t="s">
        <v>3198</v>
      </c>
      <c r="D152" s="2961">
        <v>1205</v>
      </c>
      <c r="E152" s="2961" t="s">
        <v>3250</v>
      </c>
      <c r="F152" s="2961">
        <v>85.29</v>
      </c>
    </row>
    <row r="153" spans="1:6">
      <c r="A153" s="2961">
        <v>151</v>
      </c>
      <c r="B153" s="2961" t="s">
        <v>3198</v>
      </c>
      <c r="D153" s="2961">
        <v>1206</v>
      </c>
      <c r="E153" s="2961" t="s">
        <v>3251</v>
      </c>
      <c r="F153" s="2961">
        <v>90.64</v>
      </c>
    </row>
    <row r="154" spans="1:6">
      <c r="A154" s="2961">
        <v>152</v>
      </c>
      <c r="B154" s="2961" t="s">
        <v>3198</v>
      </c>
      <c r="D154" s="2961">
        <v>1301</v>
      </c>
      <c r="E154" s="2961" t="s">
        <v>3252</v>
      </c>
      <c r="F154" s="2961">
        <v>90.64</v>
      </c>
    </row>
    <row r="155" spans="1:6">
      <c r="A155" s="2961">
        <v>153</v>
      </c>
      <c r="B155" s="2961" t="s">
        <v>3198</v>
      </c>
      <c r="D155" s="2961">
        <v>1302</v>
      </c>
      <c r="E155" s="2961" t="s">
        <v>3253</v>
      </c>
      <c r="F155" s="2961">
        <v>85.29</v>
      </c>
    </row>
    <row r="156" spans="1:6">
      <c r="A156" s="2961">
        <v>154</v>
      </c>
      <c r="B156" s="2961" t="s">
        <v>3198</v>
      </c>
      <c r="D156" s="2961">
        <v>1303</v>
      </c>
      <c r="E156" s="2961" t="s">
        <v>3254</v>
      </c>
      <c r="F156" s="2961">
        <v>108.41</v>
      </c>
    </row>
    <row r="157" spans="1:6">
      <c r="A157" s="2961">
        <v>155</v>
      </c>
      <c r="B157" s="2961" t="s">
        <v>3198</v>
      </c>
      <c r="D157" s="2961">
        <v>1304</v>
      </c>
      <c r="E157" s="2961" t="s">
        <v>3255</v>
      </c>
      <c r="F157" s="2961">
        <v>107.33</v>
      </c>
    </row>
    <row r="158" spans="1:6">
      <c r="A158" s="2961">
        <v>156</v>
      </c>
      <c r="B158" s="2961" t="s">
        <v>3198</v>
      </c>
      <c r="D158" s="2961">
        <v>1305</v>
      </c>
      <c r="E158" s="2961" t="s">
        <v>3256</v>
      </c>
      <c r="F158" s="2961">
        <v>85.29</v>
      </c>
    </row>
    <row r="159" spans="1:6">
      <c r="A159" s="2961">
        <v>157</v>
      </c>
      <c r="B159" s="2961" t="s">
        <v>3198</v>
      </c>
      <c r="D159" s="2961">
        <v>1306</v>
      </c>
      <c r="E159" s="2961" t="s">
        <v>3257</v>
      </c>
      <c r="F159" s="2961">
        <v>90.64</v>
      </c>
    </row>
    <row r="160" spans="1:6">
      <c r="A160" s="2961">
        <v>158</v>
      </c>
      <c r="B160" s="2961" t="s">
        <v>3198</v>
      </c>
      <c r="D160" s="2961">
        <v>1401</v>
      </c>
      <c r="E160" s="2961" t="s">
        <v>3258</v>
      </c>
      <c r="F160" s="2961">
        <v>90.64</v>
      </c>
    </row>
    <row r="161" spans="1:6">
      <c r="A161" s="2961">
        <v>159</v>
      </c>
      <c r="B161" s="2961" t="s">
        <v>3198</v>
      </c>
      <c r="D161" s="2961">
        <v>1402</v>
      </c>
      <c r="E161" s="2961" t="s">
        <v>3259</v>
      </c>
      <c r="F161" s="2961">
        <v>85.29</v>
      </c>
    </row>
    <row r="162" spans="1:6">
      <c r="A162" s="2961">
        <v>160</v>
      </c>
      <c r="B162" s="2961" t="s">
        <v>3198</v>
      </c>
      <c r="D162" s="2961">
        <v>1403</v>
      </c>
      <c r="E162" s="2961" t="s">
        <v>3260</v>
      </c>
      <c r="F162" s="2961">
        <v>108.41</v>
      </c>
    </row>
    <row r="163" spans="1:6">
      <c r="A163" s="2961">
        <v>161</v>
      </c>
      <c r="B163" s="2961" t="s">
        <v>3198</v>
      </c>
      <c r="D163" s="2961">
        <v>1404</v>
      </c>
      <c r="E163" s="2961" t="s">
        <v>3261</v>
      </c>
      <c r="F163" s="2961">
        <v>107.33</v>
      </c>
    </row>
    <row r="164" spans="1:6">
      <c r="A164" s="2961">
        <v>162</v>
      </c>
      <c r="B164" s="2961" t="s">
        <v>3198</v>
      </c>
      <c r="D164" s="2961">
        <v>1405</v>
      </c>
      <c r="E164" s="2961" t="s">
        <v>3262</v>
      </c>
      <c r="F164" s="2961">
        <v>85.29</v>
      </c>
    </row>
    <row r="165" spans="1:6">
      <c r="A165" s="2961">
        <v>163</v>
      </c>
      <c r="B165" s="2961" t="s">
        <v>3198</v>
      </c>
      <c r="D165" s="2961">
        <v>1406</v>
      </c>
      <c r="E165" s="2961" t="s">
        <v>3263</v>
      </c>
      <c r="F165" s="2961">
        <v>90.64</v>
      </c>
    </row>
    <row r="166" spans="1:6">
      <c r="A166" s="2961">
        <v>164</v>
      </c>
      <c r="B166" s="2961" t="s">
        <v>3198</v>
      </c>
      <c r="D166" s="2961">
        <v>1501</v>
      </c>
      <c r="E166" s="2961" t="s">
        <v>3264</v>
      </c>
      <c r="F166" s="2961">
        <v>90.64</v>
      </c>
    </row>
    <row r="167" spans="1:6">
      <c r="A167" s="2961">
        <v>165</v>
      </c>
      <c r="B167" s="2961" t="s">
        <v>3198</v>
      </c>
      <c r="D167" s="2961">
        <v>1502</v>
      </c>
      <c r="E167" s="2961" t="s">
        <v>3265</v>
      </c>
      <c r="F167" s="2961">
        <v>85.29</v>
      </c>
    </row>
    <row r="168" spans="1:6">
      <c r="A168" s="2961">
        <v>166</v>
      </c>
      <c r="B168" s="2961" t="s">
        <v>3198</v>
      </c>
      <c r="D168" s="2961">
        <v>1503</v>
      </c>
      <c r="E168" s="2961" t="s">
        <v>3266</v>
      </c>
      <c r="F168" s="2961">
        <v>108.41</v>
      </c>
    </row>
    <row r="169" spans="1:6">
      <c r="A169" s="2961">
        <v>167</v>
      </c>
      <c r="B169" s="2961" t="s">
        <v>3198</v>
      </c>
      <c r="D169" s="2961">
        <v>1505</v>
      </c>
      <c r="E169" s="2961" t="s">
        <v>3267</v>
      </c>
      <c r="F169" s="2961">
        <v>85.29</v>
      </c>
    </row>
    <row r="170" spans="1:6">
      <c r="A170" s="2961">
        <v>168</v>
      </c>
      <c r="B170" s="2961" t="s">
        <v>3198</v>
      </c>
      <c r="D170" s="2961">
        <v>1601</v>
      </c>
      <c r="E170" s="2961" t="s">
        <v>3268</v>
      </c>
      <c r="F170" s="2961">
        <v>90.64</v>
      </c>
    </row>
    <row r="171" spans="1:6">
      <c r="A171" s="2961">
        <v>169</v>
      </c>
      <c r="B171" s="2961" t="s">
        <v>3198</v>
      </c>
      <c r="D171" s="2961">
        <v>1602</v>
      </c>
      <c r="E171" s="2961" t="s">
        <v>3269</v>
      </c>
      <c r="F171" s="2961">
        <v>85.29</v>
      </c>
    </row>
    <row r="172" spans="1:6">
      <c r="A172" s="2961">
        <v>170</v>
      </c>
      <c r="B172" s="2961" t="s">
        <v>3198</v>
      </c>
      <c r="D172" s="2961">
        <v>1603</v>
      </c>
      <c r="E172" s="2961" t="s">
        <v>3270</v>
      </c>
      <c r="F172" s="2961">
        <v>108.41</v>
      </c>
    </row>
    <row r="173" spans="1:6">
      <c r="A173" s="2961">
        <v>171</v>
      </c>
      <c r="B173" s="2961" t="s">
        <v>3198</v>
      </c>
      <c r="D173" s="2961">
        <v>1605</v>
      </c>
      <c r="E173" s="2961" t="s">
        <v>3271</v>
      </c>
      <c r="F173" s="2961">
        <v>85.29</v>
      </c>
    </row>
    <row r="174" spans="1:6">
      <c r="A174" s="2961">
        <v>172</v>
      </c>
      <c r="B174" s="2961" t="s">
        <v>3198</v>
      </c>
      <c r="D174" s="2961">
        <v>1606</v>
      </c>
      <c r="E174" s="2961" t="s">
        <v>3272</v>
      </c>
      <c r="F174" s="2961">
        <v>90.64</v>
      </c>
    </row>
    <row r="175" spans="1:6">
      <c r="A175" s="2961">
        <v>173</v>
      </c>
      <c r="B175" s="2961" t="s">
        <v>3198</v>
      </c>
      <c r="D175" s="2961">
        <v>1701</v>
      </c>
      <c r="E175" s="2961" t="s">
        <v>3273</v>
      </c>
      <c r="F175" s="2961">
        <v>90.64</v>
      </c>
    </row>
    <row r="176" spans="1:6">
      <c r="A176" s="2961">
        <v>174</v>
      </c>
      <c r="B176" s="2961" t="s">
        <v>3198</v>
      </c>
      <c r="D176" s="2961">
        <v>1702</v>
      </c>
      <c r="E176" s="2961" t="s">
        <v>3274</v>
      </c>
      <c r="F176" s="2961">
        <v>85.29</v>
      </c>
    </row>
    <row r="177" spans="1:6">
      <c r="A177" s="2961">
        <v>175</v>
      </c>
      <c r="B177" s="2961" t="s">
        <v>3198</v>
      </c>
      <c r="D177" s="2961">
        <v>1703</v>
      </c>
      <c r="E177" s="2961" t="s">
        <v>3275</v>
      </c>
      <c r="F177" s="2961">
        <v>108.41</v>
      </c>
    </row>
    <row r="178" spans="1:6">
      <c r="A178" s="2961">
        <v>176</v>
      </c>
      <c r="B178" s="2961" t="s">
        <v>3198</v>
      </c>
      <c r="D178" s="2961">
        <v>1704</v>
      </c>
      <c r="E178" s="2961" t="s">
        <v>3276</v>
      </c>
      <c r="F178" s="2961">
        <v>107.33</v>
      </c>
    </row>
    <row r="179" spans="1:6">
      <c r="A179" s="2961">
        <v>177</v>
      </c>
      <c r="B179" s="2961" t="s">
        <v>3198</v>
      </c>
      <c r="D179" s="2961">
        <v>1705</v>
      </c>
      <c r="E179" s="2961" t="s">
        <v>3277</v>
      </c>
      <c r="F179" s="2961">
        <v>85.29</v>
      </c>
    </row>
    <row r="180" spans="1:6">
      <c r="A180" s="2961">
        <v>178</v>
      </c>
      <c r="B180" s="2961" t="s">
        <v>3198</v>
      </c>
      <c r="D180" s="2961">
        <v>1706</v>
      </c>
      <c r="E180" s="2961" t="s">
        <v>3278</v>
      </c>
      <c r="F180" s="2961">
        <v>90.64</v>
      </c>
    </row>
    <row r="181" spans="1:6">
      <c r="A181" s="2961">
        <v>179</v>
      </c>
      <c r="B181" s="2961" t="s">
        <v>3198</v>
      </c>
      <c r="D181" s="2961">
        <v>1802</v>
      </c>
      <c r="E181" s="2961" t="s">
        <v>3279</v>
      </c>
      <c r="F181" s="2961">
        <v>85.29</v>
      </c>
    </row>
    <row r="182" spans="1:6">
      <c r="A182" s="2961">
        <v>180</v>
      </c>
      <c r="B182" s="2961" t="s">
        <v>3198</v>
      </c>
      <c r="D182" s="2961">
        <v>1803</v>
      </c>
      <c r="E182" s="2961" t="s">
        <v>3280</v>
      </c>
      <c r="F182" s="2961">
        <v>108.41</v>
      </c>
    </row>
    <row r="183" spans="1:6">
      <c r="A183" s="2961">
        <v>181</v>
      </c>
      <c r="B183" s="2961" t="s">
        <v>3198</v>
      </c>
      <c r="D183" s="2961">
        <v>1804</v>
      </c>
      <c r="E183" s="2961" t="s">
        <v>3281</v>
      </c>
      <c r="F183" s="2961">
        <v>107.33</v>
      </c>
    </row>
    <row r="184" spans="1:6">
      <c r="A184" s="2961">
        <v>182</v>
      </c>
      <c r="B184" s="2961" t="s">
        <v>3198</v>
      </c>
      <c r="D184" s="2961">
        <v>1805</v>
      </c>
      <c r="E184" s="2961" t="s">
        <v>3282</v>
      </c>
      <c r="F184" s="2961">
        <v>85.29</v>
      </c>
    </row>
    <row r="185" spans="1:6">
      <c r="A185" s="2961">
        <v>183</v>
      </c>
      <c r="B185" s="2961" t="s">
        <v>3198</v>
      </c>
      <c r="D185" s="2961">
        <v>1806</v>
      </c>
      <c r="E185" s="2961" t="s">
        <v>3283</v>
      </c>
      <c r="F185" s="2961">
        <v>90.64</v>
      </c>
    </row>
    <row r="186" spans="1:6">
      <c r="A186" s="2961">
        <v>184</v>
      </c>
      <c r="B186" s="2961" t="s">
        <v>3198</v>
      </c>
      <c r="D186" s="2961">
        <v>1901</v>
      </c>
      <c r="E186" s="2961" t="s">
        <v>3284</v>
      </c>
      <c r="F186" s="2961">
        <v>90.64</v>
      </c>
    </row>
    <row r="187" spans="1:6">
      <c r="A187" s="2961">
        <v>185</v>
      </c>
      <c r="B187" s="2961" t="s">
        <v>3198</v>
      </c>
      <c r="D187" s="2961">
        <v>1904</v>
      </c>
      <c r="E187" s="2961" t="s">
        <v>3285</v>
      </c>
      <c r="F187" s="2961">
        <v>107.33</v>
      </c>
    </row>
    <row r="188" spans="1:6">
      <c r="A188" s="2961">
        <v>186</v>
      </c>
      <c r="B188" s="2961" t="s">
        <v>3198</v>
      </c>
      <c r="D188" s="2961">
        <v>1905</v>
      </c>
      <c r="E188" s="2961" t="s">
        <v>3286</v>
      </c>
      <c r="F188" s="2961">
        <v>85.29</v>
      </c>
    </row>
    <row r="189" spans="1:6">
      <c r="A189" s="2961">
        <v>187</v>
      </c>
      <c r="B189" s="2961" t="s">
        <v>3198</v>
      </c>
      <c r="D189" s="2961">
        <v>1906</v>
      </c>
      <c r="E189" s="2961" t="s">
        <v>3287</v>
      </c>
      <c r="F189" s="2961">
        <v>90.64</v>
      </c>
    </row>
    <row r="190" spans="1:6">
      <c r="A190" s="2961">
        <v>188</v>
      </c>
      <c r="B190" s="2961" t="s">
        <v>3198</v>
      </c>
      <c r="D190" s="2961">
        <v>2001</v>
      </c>
      <c r="E190" s="2961" t="s">
        <v>3288</v>
      </c>
      <c r="F190" s="2961">
        <v>90.64</v>
      </c>
    </row>
    <row r="191" spans="1:6">
      <c r="A191" s="2961">
        <v>189</v>
      </c>
      <c r="B191" s="2961" t="s">
        <v>3198</v>
      </c>
      <c r="D191" s="2961">
        <v>2002</v>
      </c>
      <c r="E191" s="2961" t="s">
        <v>3289</v>
      </c>
      <c r="F191" s="2961">
        <v>85.29</v>
      </c>
    </row>
    <row r="192" spans="1:6">
      <c r="A192" s="2961">
        <v>190</v>
      </c>
      <c r="B192" s="2961" t="s">
        <v>3198</v>
      </c>
      <c r="D192" s="2961">
        <v>2003</v>
      </c>
      <c r="E192" s="2961" t="s">
        <v>3290</v>
      </c>
      <c r="F192" s="2961">
        <v>108.41</v>
      </c>
    </row>
    <row r="193" spans="1:6">
      <c r="A193" s="2961">
        <v>191</v>
      </c>
      <c r="B193" s="2961" t="s">
        <v>3198</v>
      </c>
      <c r="D193" s="2961">
        <v>2004</v>
      </c>
      <c r="E193" s="2961" t="s">
        <v>3291</v>
      </c>
      <c r="F193" s="2961">
        <v>107.33</v>
      </c>
    </row>
    <row r="194" spans="1:6">
      <c r="A194" s="2961">
        <v>192</v>
      </c>
      <c r="B194" s="2961" t="s">
        <v>3198</v>
      </c>
      <c r="D194" s="2961">
        <v>2005</v>
      </c>
      <c r="E194" s="2961" t="s">
        <v>3292</v>
      </c>
      <c r="F194" s="2961">
        <v>85.29</v>
      </c>
    </row>
    <row r="195" spans="1:6">
      <c r="A195" s="2961">
        <v>193</v>
      </c>
      <c r="B195" s="2961" t="s">
        <v>3198</v>
      </c>
      <c r="D195" s="2961">
        <v>2006</v>
      </c>
      <c r="E195" s="2961" t="s">
        <v>3293</v>
      </c>
      <c r="F195" s="2961">
        <v>90.64</v>
      </c>
    </row>
    <row r="196" spans="1:6">
      <c r="A196" s="2961">
        <v>194</v>
      </c>
      <c r="B196" s="2961" t="s">
        <v>3198</v>
      </c>
      <c r="D196" s="2961">
        <v>2101</v>
      </c>
      <c r="E196" s="2961" t="s">
        <v>3294</v>
      </c>
      <c r="F196" s="2961">
        <v>90.64</v>
      </c>
    </row>
    <row r="197" spans="1:6">
      <c r="A197" s="2961">
        <v>195</v>
      </c>
      <c r="B197" s="2961" t="s">
        <v>3198</v>
      </c>
      <c r="D197" s="2961">
        <v>2102</v>
      </c>
      <c r="E197" s="2961" t="s">
        <v>3295</v>
      </c>
      <c r="F197" s="2961">
        <v>85.29</v>
      </c>
    </row>
    <row r="198" spans="1:6">
      <c r="A198" s="2961">
        <v>196</v>
      </c>
      <c r="B198" s="2961" t="s">
        <v>3198</v>
      </c>
      <c r="D198" s="2961">
        <v>2103</v>
      </c>
      <c r="E198" s="2961" t="s">
        <v>3296</v>
      </c>
      <c r="F198" s="2961">
        <v>108.41</v>
      </c>
    </row>
    <row r="199" spans="1:6">
      <c r="A199" s="2961">
        <v>197</v>
      </c>
      <c r="B199" s="2961" t="s">
        <v>3198</v>
      </c>
      <c r="D199" s="2961">
        <v>2104</v>
      </c>
      <c r="E199" s="2961" t="s">
        <v>3297</v>
      </c>
      <c r="F199" s="2961">
        <v>107.33</v>
      </c>
    </row>
    <row r="200" spans="1:6">
      <c r="A200" s="2961">
        <v>198</v>
      </c>
      <c r="B200" s="2961" t="s">
        <v>3198</v>
      </c>
      <c r="D200" s="2961">
        <v>2105</v>
      </c>
      <c r="E200" s="2961" t="s">
        <v>3298</v>
      </c>
      <c r="F200" s="2961">
        <v>85.29</v>
      </c>
    </row>
    <row r="201" spans="1:6">
      <c r="A201" s="2961">
        <v>199</v>
      </c>
      <c r="B201" s="2961" t="s">
        <v>3198</v>
      </c>
      <c r="D201" s="2961">
        <v>2106</v>
      </c>
      <c r="E201" s="2961" t="s">
        <v>3299</v>
      </c>
      <c r="F201" s="2961">
        <v>90.64</v>
      </c>
    </row>
    <row r="202" spans="1:6">
      <c r="A202" s="2961">
        <v>200</v>
      </c>
      <c r="B202" s="2961" t="s">
        <v>3198</v>
      </c>
      <c r="D202" s="2961">
        <v>2201</v>
      </c>
      <c r="E202" s="2961" t="s">
        <v>3300</v>
      </c>
      <c r="F202" s="2961">
        <v>90.64</v>
      </c>
    </row>
    <row r="203" spans="1:6">
      <c r="A203" s="2961">
        <v>201</v>
      </c>
      <c r="B203" s="2961" t="s">
        <v>3198</v>
      </c>
      <c r="D203" s="2961">
        <v>2202</v>
      </c>
      <c r="E203" s="2961" t="s">
        <v>3301</v>
      </c>
      <c r="F203" s="2961">
        <v>85.29</v>
      </c>
    </row>
    <row r="204" spans="1:6">
      <c r="A204" s="2961">
        <v>202</v>
      </c>
      <c r="B204" s="2961" t="s">
        <v>3198</v>
      </c>
      <c r="D204" s="2961">
        <v>2203</v>
      </c>
      <c r="E204" s="2961" t="s">
        <v>3302</v>
      </c>
      <c r="F204" s="2961">
        <v>108.41</v>
      </c>
    </row>
    <row r="205" spans="1:6">
      <c r="A205" s="2961">
        <v>203</v>
      </c>
      <c r="B205" s="2961" t="s">
        <v>3198</v>
      </c>
      <c r="D205" s="2961">
        <v>2205</v>
      </c>
      <c r="E205" s="2961" t="s">
        <v>3303</v>
      </c>
      <c r="F205" s="2961">
        <v>85.29</v>
      </c>
    </row>
    <row r="206" spans="1:6">
      <c r="A206" s="2961">
        <v>204</v>
      </c>
      <c r="B206" s="2961" t="s">
        <v>3198</v>
      </c>
      <c r="D206" s="2961">
        <v>2206</v>
      </c>
      <c r="E206" s="2961" t="s">
        <v>3304</v>
      </c>
      <c r="F206" s="2961">
        <v>90.64</v>
      </c>
    </row>
    <row r="207" spans="1:6">
      <c r="A207" s="2961">
        <v>205</v>
      </c>
      <c r="B207" s="2961" t="s">
        <v>3198</v>
      </c>
      <c r="D207" s="2961">
        <v>2302</v>
      </c>
      <c r="E207" s="2961" t="s">
        <v>3305</v>
      </c>
      <c r="F207" s="2961">
        <v>85.29</v>
      </c>
    </row>
    <row r="208" spans="1:6">
      <c r="A208" s="2961">
        <v>206</v>
      </c>
      <c r="B208" s="2961" t="s">
        <v>3198</v>
      </c>
      <c r="D208" s="2961">
        <v>2303</v>
      </c>
      <c r="E208" s="2961" t="s">
        <v>3306</v>
      </c>
      <c r="F208" s="2961">
        <v>108.41</v>
      </c>
    </row>
    <row r="209" spans="1:6">
      <c r="A209" s="2961">
        <v>207</v>
      </c>
      <c r="B209" s="2961" t="s">
        <v>3198</v>
      </c>
      <c r="D209" s="2961">
        <v>2304</v>
      </c>
      <c r="E209" s="2961" t="s">
        <v>3307</v>
      </c>
      <c r="F209" s="2961">
        <v>107.33</v>
      </c>
    </row>
    <row r="210" spans="1:6">
      <c r="A210" s="2961">
        <v>208</v>
      </c>
      <c r="B210" s="2961" t="s">
        <v>3198</v>
      </c>
      <c r="D210" s="2961">
        <v>2305</v>
      </c>
      <c r="E210" s="2961" t="s">
        <v>3308</v>
      </c>
      <c r="F210" s="2961">
        <v>85.29</v>
      </c>
    </row>
    <row r="211" spans="1:6">
      <c r="A211" s="2961">
        <v>209</v>
      </c>
      <c r="B211" s="2961" t="s">
        <v>3198</v>
      </c>
      <c r="D211" s="2961">
        <v>2306</v>
      </c>
      <c r="E211" s="2961" t="s">
        <v>3309</v>
      </c>
      <c r="F211" s="2961">
        <v>90.64</v>
      </c>
    </row>
    <row r="212" spans="1:6">
      <c r="A212" s="2961">
        <v>210</v>
      </c>
      <c r="B212" s="2961" t="s">
        <v>3310</v>
      </c>
      <c r="D212" s="2961">
        <v>102</v>
      </c>
      <c r="E212" s="2961" t="s">
        <v>3311</v>
      </c>
      <c r="F212" s="2961">
        <v>84.19</v>
      </c>
    </row>
    <row r="213" spans="1:6">
      <c r="A213" s="2961">
        <v>211</v>
      </c>
      <c r="B213" s="2961" t="s">
        <v>3310</v>
      </c>
      <c r="D213" s="2961">
        <v>104</v>
      </c>
      <c r="E213" s="2961" t="s">
        <v>3312</v>
      </c>
      <c r="F213" s="2961">
        <v>87.25</v>
      </c>
    </row>
    <row r="214" spans="1:6">
      <c r="A214" s="2961">
        <v>212</v>
      </c>
      <c r="B214" s="2961" t="s">
        <v>3310</v>
      </c>
      <c r="D214" s="2961">
        <v>201</v>
      </c>
      <c r="E214" s="2961" t="s">
        <v>3313</v>
      </c>
      <c r="F214" s="2961">
        <v>93.16</v>
      </c>
    </row>
    <row r="215" spans="1:6">
      <c r="A215" s="2961">
        <v>213</v>
      </c>
      <c r="B215" s="2961" t="s">
        <v>3310</v>
      </c>
      <c r="D215" s="2961">
        <v>202</v>
      </c>
      <c r="E215" s="2961" t="s">
        <v>3314</v>
      </c>
      <c r="F215" s="2961">
        <v>84.37</v>
      </c>
    </row>
    <row r="216" spans="1:6">
      <c r="A216" s="2961">
        <v>214</v>
      </c>
      <c r="B216" s="2961" t="s">
        <v>3310</v>
      </c>
      <c r="D216" s="2961">
        <v>203</v>
      </c>
      <c r="E216" s="2961" t="s">
        <v>3315</v>
      </c>
      <c r="F216" s="2961">
        <v>106.17</v>
      </c>
    </row>
    <row r="217" spans="1:6">
      <c r="A217" s="2961">
        <v>215</v>
      </c>
      <c r="B217" s="2961" t="s">
        <v>3310</v>
      </c>
      <c r="D217" s="2961">
        <v>204</v>
      </c>
      <c r="E217" s="2961" t="s">
        <v>3316</v>
      </c>
      <c r="F217" s="2961">
        <v>88.33</v>
      </c>
    </row>
    <row r="218" spans="1:6">
      <c r="A218" s="2961">
        <v>216</v>
      </c>
      <c r="B218" s="2961" t="s">
        <v>3310</v>
      </c>
      <c r="D218" s="2961">
        <v>301</v>
      </c>
      <c r="E218" s="2961" t="s">
        <v>3317</v>
      </c>
      <c r="F218" s="2961">
        <v>93.16</v>
      </c>
    </row>
    <row r="219" spans="1:6">
      <c r="A219" s="2961">
        <v>217</v>
      </c>
      <c r="B219" s="2961" t="s">
        <v>3310</v>
      </c>
      <c r="D219" s="2961">
        <v>302</v>
      </c>
      <c r="E219" s="2961" t="s">
        <v>3318</v>
      </c>
      <c r="F219" s="2961">
        <v>84.37</v>
      </c>
    </row>
    <row r="220" spans="1:6">
      <c r="A220" s="2961">
        <v>218</v>
      </c>
      <c r="B220" s="2961" t="s">
        <v>3310</v>
      </c>
      <c r="D220" s="2961">
        <v>303</v>
      </c>
      <c r="E220" s="2961" t="s">
        <v>3319</v>
      </c>
      <c r="F220" s="2961">
        <v>106.17</v>
      </c>
    </row>
    <row r="221" spans="1:6">
      <c r="A221" s="2961">
        <v>219</v>
      </c>
      <c r="B221" s="2961" t="s">
        <v>3310</v>
      </c>
      <c r="D221" s="2961">
        <v>402</v>
      </c>
      <c r="E221" s="2961" t="s">
        <v>3320</v>
      </c>
      <c r="F221" s="2961">
        <v>84.37</v>
      </c>
    </row>
    <row r="222" spans="1:6">
      <c r="A222" s="2961">
        <v>220</v>
      </c>
      <c r="B222" s="2961" t="s">
        <v>3310</v>
      </c>
      <c r="D222" s="2961">
        <v>403</v>
      </c>
      <c r="E222" s="2961" t="s">
        <v>3321</v>
      </c>
      <c r="F222" s="2961">
        <v>106.17</v>
      </c>
    </row>
    <row r="223" spans="1:6">
      <c r="A223" s="2961">
        <v>221</v>
      </c>
      <c r="B223" s="2961" t="s">
        <v>3310</v>
      </c>
      <c r="D223" s="2961">
        <v>501</v>
      </c>
      <c r="E223" s="2961" t="s">
        <v>3322</v>
      </c>
      <c r="F223" s="2961">
        <v>93.16</v>
      </c>
    </row>
    <row r="224" spans="1:6">
      <c r="A224" s="2961">
        <v>222</v>
      </c>
      <c r="B224" s="2961" t="s">
        <v>3310</v>
      </c>
      <c r="D224" s="2961">
        <v>502</v>
      </c>
      <c r="E224" s="2961" t="s">
        <v>3323</v>
      </c>
      <c r="F224" s="2961">
        <v>84.37</v>
      </c>
    </row>
    <row r="225" spans="1:6">
      <c r="A225" s="2961">
        <v>223</v>
      </c>
      <c r="B225" s="2961" t="s">
        <v>3310</v>
      </c>
      <c r="D225" s="2961">
        <v>503</v>
      </c>
      <c r="E225" s="2961" t="s">
        <v>3324</v>
      </c>
      <c r="F225" s="2961">
        <v>106.17</v>
      </c>
    </row>
    <row r="226" spans="1:6">
      <c r="A226" s="2961">
        <v>224</v>
      </c>
      <c r="B226" s="2961" t="s">
        <v>3310</v>
      </c>
      <c r="D226" s="2961">
        <v>504</v>
      </c>
      <c r="E226" s="2961" t="s">
        <v>3325</v>
      </c>
      <c r="F226" s="2961">
        <v>88.33</v>
      </c>
    </row>
    <row r="227" spans="1:6">
      <c r="A227" s="2961">
        <v>225</v>
      </c>
      <c r="B227" s="2961" t="s">
        <v>3310</v>
      </c>
      <c r="D227" s="2961">
        <v>603</v>
      </c>
      <c r="E227" s="2961" t="s">
        <v>3326</v>
      </c>
      <c r="F227" s="2961">
        <v>106.17</v>
      </c>
    </row>
    <row r="228" spans="1:6">
      <c r="A228" s="2961">
        <v>226</v>
      </c>
      <c r="B228" s="2961" t="s">
        <v>3310</v>
      </c>
      <c r="D228" s="2961">
        <v>604</v>
      </c>
      <c r="E228" s="2961" t="s">
        <v>3327</v>
      </c>
      <c r="F228" s="2961">
        <v>88.33</v>
      </c>
    </row>
    <row r="229" spans="1:6">
      <c r="A229" s="2961">
        <v>227</v>
      </c>
      <c r="B229" s="2961" t="s">
        <v>3310</v>
      </c>
      <c r="D229" s="2961">
        <v>701</v>
      </c>
      <c r="E229" s="2961" t="s">
        <v>3328</v>
      </c>
      <c r="F229" s="2961">
        <v>93.16</v>
      </c>
    </row>
    <row r="230" spans="1:6">
      <c r="A230" s="2961">
        <v>228</v>
      </c>
      <c r="B230" s="2961" t="s">
        <v>3310</v>
      </c>
      <c r="D230" s="2961">
        <v>703</v>
      </c>
      <c r="E230" s="2961" t="s">
        <v>3329</v>
      </c>
      <c r="F230" s="2961">
        <v>106.17</v>
      </c>
    </row>
    <row r="231" spans="1:6">
      <c r="A231" s="2961">
        <v>229</v>
      </c>
      <c r="B231" s="2961" t="s">
        <v>3310</v>
      </c>
      <c r="D231" s="2961">
        <v>704</v>
      </c>
      <c r="E231" s="2961" t="s">
        <v>3330</v>
      </c>
      <c r="F231" s="2961">
        <v>88.33</v>
      </c>
    </row>
    <row r="232" spans="1:6">
      <c r="A232" s="2961">
        <v>230</v>
      </c>
      <c r="B232" s="2961" t="s">
        <v>3310</v>
      </c>
      <c r="D232" s="2961">
        <v>802</v>
      </c>
      <c r="E232" s="2961" t="s">
        <v>3331</v>
      </c>
      <c r="F232" s="2961">
        <v>84.37</v>
      </c>
    </row>
    <row r="233" spans="1:6">
      <c r="A233" s="2961">
        <v>231</v>
      </c>
      <c r="B233" s="2961" t="s">
        <v>3310</v>
      </c>
      <c r="D233" s="2961">
        <v>803</v>
      </c>
      <c r="E233" s="2961" t="s">
        <v>3332</v>
      </c>
      <c r="F233" s="2961">
        <v>106.17</v>
      </c>
    </row>
    <row r="234" spans="1:6">
      <c r="A234" s="2961">
        <v>232</v>
      </c>
      <c r="B234" s="2961" t="s">
        <v>3310</v>
      </c>
      <c r="D234" s="2961">
        <v>804</v>
      </c>
      <c r="E234" s="2961" t="s">
        <v>3333</v>
      </c>
      <c r="F234" s="2961">
        <v>88.33</v>
      </c>
    </row>
    <row r="235" spans="1:6">
      <c r="A235" s="2961">
        <v>233</v>
      </c>
      <c r="B235" s="2961" t="s">
        <v>3310</v>
      </c>
      <c r="D235" s="2961">
        <v>902</v>
      </c>
      <c r="E235" s="2961" t="s">
        <v>3334</v>
      </c>
      <c r="F235" s="2961">
        <v>84.37</v>
      </c>
    </row>
    <row r="236" spans="1:6">
      <c r="A236" s="2961">
        <v>234</v>
      </c>
      <c r="B236" s="2961" t="s">
        <v>3310</v>
      </c>
      <c r="D236" s="2961">
        <v>903</v>
      </c>
      <c r="E236" s="2961" t="s">
        <v>3335</v>
      </c>
      <c r="F236" s="2961">
        <v>106.17</v>
      </c>
    </row>
    <row r="237" spans="1:6">
      <c r="A237" s="2961">
        <v>235</v>
      </c>
      <c r="B237" s="2961" t="s">
        <v>3310</v>
      </c>
      <c r="D237" s="2961">
        <v>904</v>
      </c>
      <c r="E237" s="2961" t="s">
        <v>3336</v>
      </c>
      <c r="F237" s="2961">
        <v>88.33</v>
      </c>
    </row>
    <row r="238" spans="1:6">
      <c r="A238" s="2961">
        <v>236</v>
      </c>
      <c r="B238" s="2961" t="s">
        <v>3310</v>
      </c>
      <c r="D238" s="2961">
        <v>1002</v>
      </c>
      <c r="E238" s="2961" t="s">
        <v>3337</v>
      </c>
      <c r="F238" s="2961">
        <v>84.37</v>
      </c>
    </row>
    <row r="239" spans="1:6">
      <c r="A239" s="2961">
        <v>237</v>
      </c>
      <c r="B239" s="2961" t="s">
        <v>3310</v>
      </c>
      <c r="D239" s="2961">
        <v>1003</v>
      </c>
      <c r="E239" s="2961" t="s">
        <v>3338</v>
      </c>
      <c r="F239" s="2961">
        <v>106.17</v>
      </c>
    </row>
    <row r="240" spans="1:6">
      <c r="A240" s="2961">
        <v>238</v>
      </c>
      <c r="B240" s="2961" t="s">
        <v>3310</v>
      </c>
      <c r="D240" s="2961">
        <v>1004</v>
      </c>
      <c r="E240" s="2961" t="s">
        <v>3339</v>
      </c>
      <c r="F240" s="2961">
        <v>88.33</v>
      </c>
    </row>
    <row r="241" spans="1:6">
      <c r="A241" s="2961">
        <v>239</v>
      </c>
      <c r="B241" s="2961" t="s">
        <v>3310</v>
      </c>
      <c r="D241" s="2961">
        <v>1102</v>
      </c>
      <c r="E241" s="2961" t="s">
        <v>3340</v>
      </c>
      <c r="F241" s="2961">
        <v>84.37</v>
      </c>
    </row>
    <row r="242" spans="1:6">
      <c r="A242" s="2961">
        <v>240</v>
      </c>
      <c r="B242" s="2961" t="s">
        <v>3310</v>
      </c>
      <c r="D242" s="2961">
        <v>1103</v>
      </c>
      <c r="E242" s="2961" t="s">
        <v>3341</v>
      </c>
      <c r="F242" s="2961">
        <v>106.17</v>
      </c>
    </row>
    <row r="243" spans="1:6">
      <c r="A243" s="2961">
        <v>241</v>
      </c>
      <c r="B243" s="2961" t="s">
        <v>3310</v>
      </c>
      <c r="D243" s="2961">
        <v>1104</v>
      </c>
      <c r="E243" s="2961" t="s">
        <v>3342</v>
      </c>
      <c r="F243" s="2961">
        <v>88.33</v>
      </c>
    </row>
    <row r="244" spans="1:6">
      <c r="A244" s="2961">
        <v>242</v>
      </c>
      <c r="B244" s="2961" t="s">
        <v>3310</v>
      </c>
      <c r="D244" s="2961">
        <v>1201</v>
      </c>
      <c r="E244" s="2961" t="s">
        <v>3343</v>
      </c>
      <c r="F244" s="2961">
        <v>93.16</v>
      </c>
    </row>
    <row r="245" spans="1:6">
      <c r="A245" s="2961">
        <v>243</v>
      </c>
      <c r="B245" s="2961" t="s">
        <v>3310</v>
      </c>
      <c r="D245" s="2961">
        <v>1202</v>
      </c>
      <c r="E245" s="2961" t="s">
        <v>3344</v>
      </c>
      <c r="F245" s="2961">
        <v>84.37</v>
      </c>
    </row>
    <row r="246" spans="1:6">
      <c r="A246" s="2961">
        <v>244</v>
      </c>
      <c r="B246" s="2961" t="s">
        <v>3310</v>
      </c>
      <c r="D246" s="2961">
        <v>1203</v>
      </c>
      <c r="E246" s="2961" t="s">
        <v>3345</v>
      </c>
      <c r="F246" s="2961">
        <v>106.17</v>
      </c>
    </row>
    <row r="247" spans="1:6">
      <c r="A247" s="2961">
        <v>245</v>
      </c>
      <c r="B247" s="2961" t="s">
        <v>3310</v>
      </c>
      <c r="D247" s="2961">
        <v>1204</v>
      </c>
      <c r="E247" s="2961" t="s">
        <v>3346</v>
      </c>
      <c r="F247" s="2961">
        <v>88.33</v>
      </c>
    </row>
    <row r="248" spans="1:6">
      <c r="A248" s="2961">
        <v>246</v>
      </c>
      <c r="B248" s="2961" t="s">
        <v>3310</v>
      </c>
      <c r="D248" s="2961">
        <v>1302</v>
      </c>
      <c r="E248" s="2961" t="s">
        <v>3347</v>
      </c>
      <c r="F248" s="2961">
        <v>84.37</v>
      </c>
    </row>
    <row r="249" spans="1:6">
      <c r="A249" s="2961">
        <v>247</v>
      </c>
      <c r="B249" s="2961" t="s">
        <v>3310</v>
      </c>
      <c r="D249" s="2961">
        <v>1303</v>
      </c>
      <c r="E249" s="2961" t="s">
        <v>3348</v>
      </c>
      <c r="F249" s="2961">
        <v>106.17</v>
      </c>
    </row>
    <row r="250" spans="1:6">
      <c r="A250" s="2961">
        <v>248</v>
      </c>
      <c r="B250" s="2961" t="s">
        <v>3310</v>
      </c>
      <c r="D250" s="2961">
        <v>1304</v>
      </c>
      <c r="E250" s="2961" t="s">
        <v>3349</v>
      </c>
      <c r="F250" s="2961">
        <v>88.33</v>
      </c>
    </row>
    <row r="251" spans="1:6">
      <c r="A251" s="2961">
        <v>249</v>
      </c>
      <c r="B251" s="2961" t="s">
        <v>3310</v>
      </c>
      <c r="D251" s="2961">
        <v>1402</v>
      </c>
      <c r="E251" s="2961" t="s">
        <v>3350</v>
      </c>
      <c r="F251" s="2961">
        <v>84.37</v>
      </c>
    </row>
    <row r="252" spans="1:6">
      <c r="A252" s="2961">
        <v>250</v>
      </c>
      <c r="B252" s="2961" t="s">
        <v>3310</v>
      </c>
      <c r="D252" s="2961">
        <v>1403</v>
      </c>
      <c r="E252" s="2961" t="s">
        <v>3351</v>
      </c>
      <c r="F252" s="2961">
        <v>106.17</v>
      </c>
    </row>
    <row r="253" spans="1:6">
      <c r="A253" s="2961">
        <v>251</v>
      </c>
      <c r="B253" s="2961" t="s">
        <v>3310</v>
      </c>
      <c r="D253" s="2961">
        <v>1404</v>
      </c>
      <c r="E253" s="2961" t="s">
        <v>3352</v>
      </c>
      <c r="F253" s="2961">
        <v>88.33</v>
      </c>
    </row>
    <row r="254" spans="1:6">
      <c r="A254" s="2961">
        <v>252</v>
      </c>
      <c r="B254" s="2961" t="s">
        <v>3310</v>
      </c>
      <c r="D254" s="2961">
        <v>1501</v>
      </c>
      <c r="E254" s="2961" t="s">
        <v>3353</v>
      </c>
      <c r="F254" s="2961">
        <v>93.16</v>
      </c>
    </row>
    <row r="255" spans="1:6">
      <c r="A255" s="2961">
        <v>253</v>
      </c>
      <c r="B255" s="2961" t="s">
        <v>3310</v>
      </c>
      <c r="D255" s="2961">
        <v>1502</v>
      </c>
      <c r="E255" s="2961" t="s">
        <v>3354</v>
      </c>
      <c r="F255" s="2961">
        <v>84.37</v>
      </c>
    </row>
    <row r="256" spans="1:6">
      <c r="A256" s="2961">
        <v>254</v>
      </c>
      <c r="B256" s="2961" t="s">
        <v>3310</v>
      </c>
      <c r="D256" s="2961">
        <v>1503</v>
      </c>
      <c r="E256" s="2961" t="s">
        <v>3355</v>
      </c>
      <c r="F256" s="2961">
        <v>106.17</v>
      </c>
    </row>
    <row r="257" spans="1:6">
      <c r="A257" s="2961">
        <v>255</v>
      </c>
      <c r="B257" s="2961" t="s">
        <v>3310</v>
      </c>
      <c r="D257" s="2961">
        <v>1504</v>
      </c>
      <c r="E257" s="2961" t="s">
        <v>3356</v>
      </c>
      <c r="F257" s="2961">
        <v>88.33</v>
      </c>
    </row>
    <row r="258" spans="1:6">
      <c r="A258" s="2961">
        <v>256</v>
      </c>
      <c r="B258" s="2961" t="s">
        <v>3310</v>
      </c>
      <c r="D258" s="2961">
        <v>1601</v>
      </c>
      <c r="E258" s="2961" t="s">
        <v>3357</v>
      </c>
      <c r="F258" s="2961">
        <v>93.16</v>
      </c>
    </row>
    <row r="259" spans="1:6">
      <c r="A259" s="2961">
        <v>257</v>
      </c>
      <c r="B259" s="2961" t="s">
        <v>3310</v>
      </c>
      <c r="D259" s="2961">
        <v>1602</v>
      </c>
      <c r="E259" s="2961" t="s">
        <v>3358</v>
      </c>
      <c r="F259" s="2961">
        <v>84.37</v>
      </c>
    </row>
    <row r="260" spans="1:6">
      <c r="A260" s="2961">
        <v>258</v>
      </c>
      <c r="B260" s="2961" t="s">
        <v>3310</v>
      </c>
      <c r="D260" s="2961">
        <v>1603</v>
      </c>
      <c r="E260" s="2961" t="s">
        <v>3359</v>
      </c>
      <c r="F260" s="2961">
        <v>106.17</v>
      </c>
    </row>
    <row r="261" spans="1:6">
      <c r="A261" s="2961">
        <v>259</v>
      </c>
      <c r="B261" s="2961" t="s">
        <v>3310</v>
      </c>
      <c r="D261" s="2961">
        <v>1604</v>
      </c>
      <c r="E261" s="2961" t="s">
        <v>3360</v>
      </c>
      <c r="F261" s="2961">
        <v>88.33</v>
      </c>
    </row>
    <row r="262" spans="1:6">
      <c r="A262" s="2961">
        <v>260</v>
      </c>
      <c r="B262" s="2961" t="s">
        <v>3310</v>
      </c>
      <c r="D262" s="2961">
        <v>1701</v>
      </c>
      <c r="E262" s="2961" t="s">
        <v>3361</v>
      </c>
      <c r="F262" s="2961">
        <v>93.16</v>
      </c>
    </row>
    <row r="263" spans="1:6">
      <c r="A263" s="2961">
        <v>261</v>
      </c>
      <c r="B263" s="2961" t="s">
        <v>3310</v>
      </c>
      <c r="D263" s="2961">
        <v>1702</v>
      </c>
      <c r="E263" s="2961" t="s">
        <v>3362</v>
      </c>
      <c r="F263" s="2961">
        <v>84.37</v>
      </c>
    </row>
    <row r="264" spans="1:6">
      <c r="A264" s="2961">
        <v>262</v>
      </c>
      <c r="B264" s="2961" t="s">
        <v>3310</v>
      </c>
      <c r="D264" s="2961">
        <v>1703</v>
      </c>
      <c r="E264" s="2961" t="s">
        <v>3363</v>
      </c>
      <c r="F264" s="2961">
        <v>106.17</v>
      </c>
    </row>
    <row r="265" spans="1:6">
      <c r="A265" s="2961">
        <v>263</v>
      </c>
      <c r="B265" s="2961" t="s">
        <v>3310</v>
      </c>
      <c r="D265" s="2961">
        <v>1704</v>
      </c>
      <c r="E265" s="2961" t="s">
        <v>3364</v>
      </c>
      <c r="F265" s="2961">
        <v>88.33</v>
      </c>
    </row>
    <row r="266" spans="1:6">
      <c r="A266" s="2961">
        <v>264</v>
      </c>
      <c r="B266" s="2961" t="s">
        <v>3310</v>
      </c>
      <c r="D266" s="2961">
        <v>1802</v>
      </c>
      <c r="E266" s="2961" t="s">
        <v>3365</v>
      </c>
      <c r="F266" s="2961">
        <v>84.37</v>
      </c>
    </row>
    <row r="267" spans="1:6">
      <c r="A267" s="2961">
        <v>265</v>
      </c>
      <c r="B267" s="2961" t="s">
        <v>3310</v>
      </c>
      <c r="D267" s="2961">
        <v>1803</v>
      </c>
      <c r="E267" s="2961" t="s">
        <v>3366</v>
      </c>
      <c r="F267" s="2961">
        <v>106.17</v>
      </c>
    </row>
    <row r="268" spans="1:6">
      <c r="A268" s="2961">
        <v>266</v>
      </c>
      <c r="B268" s="2961" t="s">
        <v>3310</v>
      </c>
      <c r="D268" s="2961">
        <v>1901</v>
      </c>
      <c r="E268" s="2961" t="s">
        <v>3367</v>
      </c>
      <c r="F268" s="2961">
        <v>93.16</v>
      </c>
    </row>
    <row r="269" spans="1:6">
      <c r="A269" s="2961">
        <v>267</v>
      </c>
      <c r="B269" s="2961" t="s">
        <v>3310</v>
      </c>
      <c r="D269" s="2961">
        <v>1902</v>
      </c>
      <c r="E269" s="2961" t="s">
        <v>3368</v>
      </c>
      <c r="F269" s="2961">
        <v>84.37</v>
      </c>
    </row>
    <row r="270" spans="1:6">
      <c r="A270" s="2961">
        <v>268</v>
      </c>
      <c r="B270" s="2961" t="s">
        <v>3310</v>
      </c>
      <c r="D270" s="2961">
        <v>1903</v>
      </c>
      <c r="E270" s="2961" t="s">
        <v>3369</v>
      </c>
      <c r="F270" s="2961">
        <v>106.17</v>
      </c>
    </row>
    <row r="271" spans="1:6">
      <c r="A271" s="2961">
        <v>269</v>
      </c>
      <c r="B271" s="2961" t="s">
        <v>3310</v>
      </c>
      <c r="D271" s="2961">
        <v>1904</v>
      </c>
      <c r="E271" s="2961" t="s">
        <v>3370</v>
      </c>
      <c r="F271" s="2961">
        <v>88.33</v>
      </c>
    </row>
    <row r="272" spans="1:6">
      <c r="A272" s="2961">
        <v>270</v>
      </c>
      <c r="B272" s="2961" t="s">
        <v>3310</v>
      </c>
      <c r="D272" s="2961">
        <v>2001</v>
      </c>
      <c r="E272" s="2961" t="s">
        <v>3371</v>
      </c>
      <c r="F272" s="2961">
        <v>93.16</v>
      </c>
    </row>
    <row r="273" spans="1:6">
      <c r="A273" s="2961">
        <v>271</v>
      </c>
      <c r="B273" s="2961" t="s">
        <v>3310</v>
      </c>
      <c r="D273" s="2961">
        <v>2002</v>
      </c>
      <c r="E273" s="2961" t="s">
        <v>3372</v>
      </c>
      <c r="F273" s="2961">
        <v>84.37</v>
      </c>
    </row>
    <row r="274" spans="1:6">
      <c r="A274" s="2961">
        <v>272</v>
      </c>
      <c r="B274" s="2961" t="s">
        <v>3310</v>
      </c>
      <c r="D274" s="2961">
        <v>2003</v>
      </c>
      <c r="E274" s="2961" t="s">
        <v>3373</v>
      </c>
      <c r="F274" s="2961">
        <v>106.17</v>
      </c>
    </row>
    <row r="275" spans="1:6">
      <c r="A275" s="2961">
        <v>273</v>
      </c>
      <c r="B275" s="2961" t="s">
        <v>3310</v>
      </c>
      <c r="D275" s="2961">
        <v>2004</v>
      </c>
      <c r="E275" s="2961" t="s">
        <v>3374</v>
      </c>
      <c r="F275" s="2961">
        <v>88.33</v>
      </c>
    </row>
    <row r="276" spans="1:6">
      <c r="A276" s="2961">
        <v>274</v>
      </c>
      <c r="B276" s="2961" t="s">
        <v>3310</v>
      </c>
      <c r="D276" s="2961">
        <v>2102</v>
      </c>
      <c r="E276" s="2961" t="s">
        <v>3375</v>
      </c>
      <c r="F276" s="2961">
        <v>84.37</v>
      </c>
    </row>
    <row r="277" spans="1:6">
      <c r="A277" s="2961">
        <v>275</v>
      </c>
      <c r="B277" s="2961" t="s">
        <v>3310</v>
      </c>
      <c r="D277" s="2961">
        <v>2104</v>
      </c>
      <c r="E277" s="2961" t="s">
        <v>3376</v>
      </c>
      <c r="F277" s="2961">
        <v>88.33</v>
      </c>
    </row>
    <row r="278" spans="1:6">
      <c r="A278" s="2961">
        <v>276</v>
      </c>
      <c r="B278" s="2961" t="s">
        <v>3310</v>
      </c>
      <c r="D278" s="2961">
        <v>2201</v>
      </c>
      <c r="E278" s="2961" t="s">
        <v>3377</v>
      </c>
      <c r="F278" s="2961">
        <v>93.16</v>
      </c>
    </row>
    <row r="279" spans="1:6">
      <c r="A279" s="2961">
        <v>277</v>
      </c>
      <c r="B279" s="2961" t="s">
        <v>3310</v>
      </c>
      <c r="D279" s="2961">
        <v>2203</v>
      </c>
      <c r="E279" s="2961" t="s">
        <v>3378</v>
      </c>
      <c r="F279" s="2961">
        <v>106.17</v>
      </c>
    </row>
    <row r="280" spans="1:6">
      <c r="A280" s="2961">
        <v>278</v>
      </c>
      <c r="B280" s="2961" t="s">
        <v>3310</v>
      </c>
      <c r="D280" s="2961">
        <v>2301</v>
      </c>
      <c r="E280" s="2961" t="s">
        <v>3379</v>
      </c>
      <c r="F280" s="2961">
        <v>93.16</v>
      </c>
    </row>
    <row r="281" spans="1:6">
      <c r="A281" s="2961">
        <v>279</v>
      </c>
      <c r="B281" s="2961" t="s">
        <v>3310</v>
      </c>
      <c r="D281" s="2961">
        <v>2302</v>
      </c>
      <c r="E281" s="2961" t="s">
        <v>3380</v>
      </c>
      <c r="F281" s="2961">
        <v>84.37</v>
      </c>
    </row>
    <row r="282" spans="1:6">
      <c r="A282" s="2961">
        <v>280</v>
      </c>
      <c r="B282" s="2961" t="s">
        <v>3310</v>
      </c>
      <c r="D282" s="2961">
        <v>2303</v>
      </c>
      <c r="E282" s="2961" t="s">
        <v>3381</v>
      </c>
      <c r="F282" s="2961">
        <v>106.17</v>
      </c>
    </row>
    <row r="283" spans="1:6">
      <c r="A283" s="2961">
        <v>281</v>
      </c>
      <c r="B283" s="2961" t="s">
        <v>3310</v>
      </c>
      <c r="D283" s="2961">
        <v>2304</v>
      </c>
      <c r="E283" s="2961" t="s">
        <v>3382</v>
      </c>
      <c r="F283" s="2961">
        <v>88.33</v>
      </c>
    </row>
    <row r="284" spans="1:6">
      <c r="A284" s="2961">
        <v>282</v>
      </c>
      <c r="B284" s="2961" t="s">
        <v>3383</v>
      </c>
      <c r="D284" s="2961">
        <v>201</v>
      </c>
      <c r="E284" s="2961" t="s">
        <v>3384</v>
      </c>
      <c r="F284" s="2961">
        <v>90.53</v>
      </c>
    </row>
    <row r="285" spans="1:6">
      <c r="A285" s="2961">
        <v>283</v>
      </c>
      <c r="B285" s="2961" t="s">
        <v>3383</v>
      </c>
      <c r="D285" s="2961">
        <v>202</v>
      </c>
      <c r="E285" s="2961" t="s">
        <v>3385</v>
      </c>
      <c r="F285" s="2961">
        <v>85.18</v>
      </c>
    </row>
    <row r="286" spans="1:6">
      <c r="A286" s="2961">
        <v>284</v>
      </c>
      <c r="B286" s="2961" t="s">
        <v>3383</v>
      </c>
      <c r="D286" s="2961">
        <v>203</v>
      </c>
      <c r="E286" s="2961" t="s">
        <v>3386</v>
      </c>
      <c r="F286" s="2961">
        <v>108.27</v>
      </c>
    </row>
    <row r="287" spans="1:6">
      <c r="A287" s="2961">
        <v>285</v>
      </c>
      <c r="B287" s="2961" t="s">
        <v>3383</v>
      </c>
      <c r="D287" s="2961">
        <v>204</v>
      </c>
      <c r="E287" s="2961" t="s">
        <v>3387</v>
      </c>
      <c r="F287" s="2961">
        <v>107.19</v>
      </c>
    </row>
    <row r="288" spans="1:6">
      <c r="A288" s="2961">
        <v>286</v>
      </c>
      <c r="B288" s="2961" t="s">
        <v>3383</v>
      </c>
      <c r="D288" s="2961">
        <v>205</v>
      </c>
      <c r="E288" s="2961" t="s">
        <v>3388</v>
      </c>
      <c r="F288" s="2961">
        <v>85.18</v>
      </c>
    </row>
    <row r="289" spans="1:6">
      <c r="A289" s="2961">
        <v>287</v>
      </c>
      <c r="B289" s="2961" t="s">
        <v>3383</v>
      </c>
      <c r="D289" s="2961">
        <v>206</v>
      </c>
      <c r="E289" s="2961" t="s">
        <v>3389</v>
      </c>
      <c r="F289" s="2961">
        <v>90.53</v>
      </c>
    </row>
    <row r="290" spans="1:6">
      <c r="A290" s="2961">
        <v>288</v>
      </c>
      <c r="B290" s="2961" t="s">
        <v>3383</v>
      </c>
      <c r="D290" s="2961">
        <v>301</v>
      </c>
      <c r="E290" s="2961" t="s">
        <v>3390</v>
      </c>
      <c r="F290" s="2961">
        <v>90.53</v>
      </c>
    </row>
    <row r="291" spans="1:6">
      <c r="A291" s="2961">
        <v>289</v>
      </c>
      <c r="B291" s="2961" t="s">
        <v>3383</v>
      </c>
      <c r="D291" s="2961">
        <v>303</v>
      </c>
      <c r="E291" s="2961" t="s">
        <v>3391</v>
      </c>
      <c r="F291" s="2961">
        <v>108.27</v>
      </c>
    </row>
    <row r="292" spans="1:6">
      <c r="A292" s="2961">
        <v>290</v>
      </c>
      <c r="B292" s="2961" t="s">
        <v>3383</v>
      </c>
      <c r="D292" s="2961">
        <v>304</v>
      </c>
      <c r="E292" s="2961" t="s">
        <v>3392</v>
      </c>
      <c r="F292" s="2961">
        <v>107.19</v>
      </c>
    </row>
    <row r="293" spans="1:6">
      <c r="A293" s="2961">
        <v>291</v>
      </c>
      <c r="B293" s="2961" t="s">
        <v>3383</v>
      </c>
      <c r="D293" s="2961">
        <v>305</v>
      </c>
      <c r="E293" s="2961" t="s">
        <v>3393</v>
      </c>
      <c r="F293" s="2961">
        <v>85.18</v>
      </c>
    </row>
    <row r="294" spans="1:6">
      <c r="A294" s="2961">
        <v>292</v>
      </c>
      <c r="B294" s="2961" t="s">
        <v>3383</v>
      </c>
      <c r="D294" s="2961">
        <v>306</v>
      </c>
      <c r="E294" s="2961" t="s">
        <v>3394</v>
      </c>
      <c r="F294" s="2961">
        <v>90.53</v>
      </c>
    </row>
    <row r="295" spans="1:6">
      <c r="A295" s="2961">
        <v>293</v>
      </c>
      <c r="B295" s="2961" t="s">
        <v>3383</v>
      </c>
      <c r="D295" s="2961">
        <v>401</v>
      </c>
      <c r="E295" s="2961" t="s">
        <v>3395</v>
      </c>
      <c r="F295" s="2961">
        <v>90.53</v>
      </c>
    </row>
    <row r="296" spans="1:6">
      <c r="A296" s="2961">
        <v>294</v>
      </c>
      <c r="B296" s="2961" t="s">
        <v>3383</v>
      </c>
      <c r="D296" s="2961">
        <v>403</v>
      </c>
      <c r="E296" s="2961" t="s">
        <v>3396</v>
      </c>
      <c r="F296" s="2961">
        <v>108.27</v>
      </c>
    </row>
    <row r="297" spans="1:6">
      <c r="A297" s="2961">
        <v>295</v>
      </c>
      <c r="B297" s="2961" t="s">
        <v>3383</v>
      </c>
      <c r="D297" s="2961">
        <v>405</v>
      </c>
      <c r="E297" s="2961" t="s">
        <v>3397</v>
      </c>
      <c r="F297" s="2961">
        <v>85.18</v>
      </c>
    </row>
    <row r="298" spans="1:6">
      <c r="A298" s="2961">
        <v>296</v>
      </c>
      <c r="B298" s="2961" t="s">
        <v>3383</v>
      </c>
      <c r="D298" s="2961">
        <v>406</v>
      </c>
      <c r="E298" s="2961" t="s">
        <v>3398</v>
      </c>
      <c r="F298" s="2961">
        <v>90.53</v>
      </c>
    </row>
    <row r="299" spans="1:6">
      <c r="A299" s="2961">
        <v>297</v>
      </c>
      <c r="B299" s="2961" t="s">
        <v>3383</v>
      </c>
      <c r="D299" s="2961">
        <v>501</v>
      </c>
      <c r="E299" s="2961" t="s">
        <v>3399</v>
      </c>
      <c r="F299" s="2961">
        <v>90.53</v>
      </c>
    </row>
    <row r="300" spans="1:6">
      <c r="A300" s="2961">
        <v>298</v>
      </c>
      <c r="B300" s="2961" t="s">
        <v>3383</v>
      </c>
      <c r="D300" s="2961">
        <v>502</v>
      </c>
      <c r="E300" s="2961" t="s">
        <v>3400</v>
      </c>
      <c r="F300" s="2961">
        <v>85.18</v>
      </c>
    </row>
    <row r="301" spans="1:6">
      <c r="A301" s="2961">
        <v>299</v>
      </c>
      <c r="B301" s="2961" t="s">
        <v>3383</v>
      </c>
      <c r="D301" s="2961">
        <v>503</v>
      </c>
      <c r="E301" s="2961" t="s">
        <v>3401</v>
      </c>
      <c r="F301" s="2961">
        <v>108.27</v>
      </c>
    </row>
    <row r="302" spans="1:6">
      <c r="A302" s="2961">
        <v>300</v>
      </c>
      <c r="B302" s="2961" t="s">
        <v>3383</v>
      </c>
      <c r="D302" s="2961">
        <v>504</v>
      </c>
      <c r="E302" s="2961" t="s">
        <v>3402</v>
      </c>
      <c r="F302" s="2961">
        <v>107.19</v>
      </c>
    </row>
    <row r="303" spans="1:6">
      <c r="A303" s="2961">
        <v>301</v>
      </c>
      <c r="B303" s="2961" t="s">
        <v>3383</v>
      </c>
      <c r="D303" s="2961">
        <v>505</v>
      </c>
      <c r="E303" s="2961" t="s">
        <v>3403</v>
      </c>
      <c r="F303" s="2961">
        <v>85.18</v>
      </c>
    </row>
    <row r="304" spans="1:6">
      <c r="A304" s="2961">
        <v>302</v>
      </c>
      <c r="B304" s="2961" t="s">
        <v>3383</v>
      </c>
      <c r="D304" s="2961">
        <v>506</v>
      </c>
      <c r="E304" s="2961" t="s">
        <v>3404</v>
      </c>
      <c r="F304" s="2961">
        <v>90.53</v>
      </c>
    </row>
    <row r="305" spans="1:6">
      <c r="A305" s="2961">
        <v>303</v>
      </c>
      <c r="B305" s="2961" t="s">
        <v>3383</v>
      </c>
      <c r="D305" s="2961">
        <v>601</v>
      </c>
      <c r="E305" s="2961" t="s">
        <v>3405</v>
      </c>
      <c r="F305" s="2961">
        <v>90.53</v>
      </c>
    </row>
    <row r="306" spans="1:6">
      <c r="A306" s="2961">
        <v>304</v>
      </c>
      <c r="B306" s="2961" t="s">
        <v>3383</v>
      </c>
      <c r="D306" s="2961">
        <v>602</v>
      </c>
      <c r="E306" s="2961" t="s">
        <v>3406</v>
      </c>
      <c r="F306" s="2961">
        <v>85.18</v>
      </c>
    </row>
    <row r="307" spans="1:6">
      <c r="A307" s="2961">
        <v>305</v>
      </c>
      <c r="B307" s="2961" t="s">
        <v>3383</v>
      </c>
      <c r="D307" s="2961">
        <v>603</v>
      </c>
      <c r="E307" s="2961" t="s">
        <v>3407</v>
      </c>
      <c r="F307" s="2961">
        <v>108.27</v>
      </c>
    </row>
    <row r="308" spans="1:6">
      <c r="A308" s="2961">
        <v>306</v>
      </c>
      <c r="B308" s="2961" t="s">
        <v>3383</v>
      </c>
      <c r="D308" s="2961">
        <v>604</v>
      </c>
      <c r="E308" s="2961" t="s">
        <v>3408</v>
      </c>
      <c r="F308" s="2961">
        <v>107.19</v>
      </c>
    </row>
    <row r="309" spans="1:6">
      <c r="A309" s="2961">
        <v>307</v>
      </c>
      <c r="B309" s="2961" t="s">
        <v>3383</v>
      </c>
      <c r="D309" s="2961">
        <v>605</v>
      </c>
      <c r="E309" s="2961" t="s">
        <v>3409</v>
      </c>
      <c r="F309" s="2961">
        <v>85.18</v>
      </c>
    </row>
    <row r="310" spans="1:6">
      <c r="A310" s="2961">
        <v>308</v>
      </c>
      <c r="B310" s="2961" t="s">
        <v>3383</v>
      </c>
      <c r="D310" s="2961">
        <v>606</v>
      </c>
      <c r="E310" s="2961" t="s">
        <v>3410</v>
      </c>
      <c r="F310" s="2961">
        <v>90.53</v>
      </c>
    </row>
    <row r="311" spans="1:6">
      <c r="A311" s="2961">
        <v>309</v>
      </c>
      <c r="B311" s="2961" t="s">
        <v>3383</v>
      </c>
      <c r="D311" s="2961">
        <v>701</v>
      </c>
      <c r="E311" s="2961" t="s">
        <v>3411</v>
      </c>
      <c r="F311" s="2961">
        <v>90.53</v>
      </c>
    </row>
    <row r="312" spans="1:6">
      <c r="A312" s="2961">
        <v>310</v>
      </c>
      <c r="B312" s="2961" t="s">
        <v>3383</v>
      </c>
      <c r="D312" s="2961">
        <v>702</v>
      </c>
      <c r="E312" s="2961" t="s">
        <v>3412</v>
      </c>
      <c r="F312" s="2961">
        <v>85.18</v>
      </c>
    </row>
    <row r="313" spans="1:6">
      <c r="A313" s="2961">
        <v>311</v>
      </c>
      <c r="B313" s="2961" t="s">
        <v>3383</v>
      </c>
      <c r="D313" s="2961">
        <v>703</v>
      </c>
      <c r="E313" s="2961" t="s">
        <v>3413</v>
      </c>
      <c r="F313" s="2961">
        <v>108.27</v>
      </c>
    </row>
    <row r="314" spans="1:6">
      <c r="A314" s="2961">
        <v>312</v>
      </c>
      <c r="B314" s="2961" t="s">
        <v>3383</v>
      </c>
      <c r="D314" s="2961">
        <v>704</v>
      </c>
      <c r="E314" s="2961" t="s">
        <v>3414</v>
      </c>
      <c r="F314" s="2961">
        <v>107.19</v>
      </c>
    </row>
    <row r="315" spans="1:6">
      <c r="A315" s="2961">
        <v>313</v>
      </c>
      <c r="B315" s="2961" t="s">
        <v>3383</v>
      </c>
      <c r="D315" s="2961">
        <v>705</v>
      </c>
      <c r="E315" s="2961" t="s">
        <v>3415</v>
      </c>
      <c r="F315" s="2961">
        <v>85.18</v>
      </c>
    </row>
    <row r="316" spans="1:6">
      <c r="A316" s="2961">
        <v>314</v>
      </c>
      <c r="B316" s="2961" t="s">
        <v>3383</v>
      </c>
      <c r="D316" s="2961">
        <v>706</v>
      </c>
      <c r="E316" s="2961" t="s">
        <v>3416</v>
      </c>
      <c r="F316" s="2961">
        <v>90.53</v>
      </c>
    </row>
    <row r="317" spans="1:6">
      <c r="A317" s="2961">
        <v>315</v>
      </c>
      <c r="B317" s="2961" t="s">
        <v>3383</v>
      </c>
      <c r="D317" s="2961">
        <v>801</v>
      </c>
      <c r="E317" s="2961" t="s">
        <v>3417</v>
      </c>
      <c r="F317" s="2961">
        <v>90.53</v>
      </c>
    </row>
    <row r="318" spans="1:6">
      <c r="A318" s="2961">
        <v>316</v>
      </c>
      <c r="B318" s="2961" t="s">
        <v>3383</v>
      </c>
      <c r="D318" s="2961">
        <v>802</v>
      </c>
      <c r="E318" s="2961" t="s">
        <v>3418</v>
      </c>
      <c r="F318" s="2961">
        <v>85.18</v>
      </c>
    </row>
    <row r="319" spans="1:6">
      <c r="A319" s="2961">
        <v>317</v>
      </c>
      <c r="B319" s="2961" t="s">
        <v>3383</v>
      </c>
      <c r="D319" s="2961">
        <v>803</v>
      </c>
      <c r="E319" s="2961" t="s">
        <v>3419</v>
      </c>
      <c r="F319" s="2961">
        <v>108.27</v>
      </c>
    </row>
    <row r="320" spans="1:6">
      <c r="A320" s="2961">
        <v>318</v>
      </c>
      <c r="B320" s="2961" t="s">
        <v>3383</v>
      </c>
      <c r="D320" s="2961">
        <v>804</v>
      </c>
      <c r="E320" s="2961" t="s">
        <v>3420</v>
      </c>
      <c r="F320" s="2961">
        <v>107.19</v>
      </c>
    </row>
    <row r="321" spans="1:6">
      <c r="A321" s="2961">
        <v>319</v>
      </c>
      <c r="B321" s="2961" t="s">
        <v>3383</v>
      </c>
      <c r="D321" s="2961">
        <v>805</v>
      </c>
      <c r="E321" s="2961" t="s">
        <v>3421</v>
      </c>
      <c r="F321" s="2961">
        <v>85.18</v>
      </c>
    </row>
    <row r="322" spans="1:6">
      <c r="A322" s="2961">
        <v>320</v>
      </c>
      <c r="B322" s="2961" t="s">
        <v>3383</v>
      </c>
      <c r="D322" s="2961">
        <v>806</v>
      </c>
      <c r="E322" s="2961" t="s">
        <v>3422</v>
      </c>
      <c r="F322" s="2961">
        <v>90.53</v>
      </c>
    </row>
    <row r="323" spans="1:6">
      <c r="A323" s="2961">
        <v>321</v>
      </c>
      <c r="B323" s="2961" t="s">
        <v>3383</v>
      </c>
      <c r="D323" s="2961">
        <v>901</v>
      </c>
      <c r="E323" s="2961" t="s">
        <v>3423</v>
      </c>
      <c r="F323" s="2961">
        <v>90.53</v>
      </c>
    </row>
    <row r="324" spans="1:6">
      <c r="A324" s="2961">
        <v>322</v>
      </c>
      <c r="B324" s="2961" t="s">
        <v>3383</v>
      </c>
      <c r="D324" s="2961">
        <v>902</v>
      </c>
      <c r="E324" s="2961" t="s">
        <v>3424</v>
      </c>
      <c r="F324" s="2961">
        <v>85.18</v>
      </c>
    </row>
    <row r="325" spans="1:6">
      <c r="A325" s="2961">
        <v>323</v>
      </c>
      <c r="B325" s="2961" t="s">
        <v>3383</v>
      </c>
      <c r="D325" s="2961">
        <v>903</v>
      </c>
      <c r="E325" s="2961" t="s">
        <v>3425</v>
      </c>
      <c r="F325" s="2961">
        <v>108.27</v>
      </c>
    </row>
    <row r="326" spans="1:6">
      <c r="A326" s="2961">
        <v>324</v>
      </c>
      <c r="B326" s="2961" t="s">
        <v>3383</v>
      </c>
      <c r="D326" s="2961">
        <v>904</v>
      </c>
      <c r="E326" s="2961" t="s">
        <v>3426</v>
      </c>
      <c r="F326" s="2961">
        <v>107.19</v>
      </c>
    </row>
    <row r="327" spans="1:6">
      <c r="A327" s="2961">
        <v>325</v>
      </c>
      <c r="B327" s="2961" t="s">
        <v>3383</v>
      </c>
      <c r="D327" s="2961">
        <v>905</v>
      </c>
      <c r="E327" s="2961" t="s">
        <v>3427</v>
      </c>
      <c r="F327" s="2961">
        <v>85.18</v>
      </c>
    </row>
    <row r="328" spans="1:6">
      <c r="A328" s="2961">
        <v>326</v>
      </c>
      <c r="B328" s="2961" t="s">
        <v>3383</v>
      </c>
      <c r="D328" s="2961">
        <v>906</v>
      </c>
      <c r="E328" s="2961" t="s">
        <v>3428</v>
      </c>
      <c r="F328" s="2961">
        <v>90.53</v>
      </c>
    </row>
    <row r="329" spans="1:6">
      <c r="A329" s="2961">
        <v>327</v>
      </c>
      <c r="B329" s="2961" t="s">
        <v>3383</v>
      </c>
      <c r="D329" s="2961">
        <v>1001</v>
      </c>
      <c r="E329" s="2961" t="s">
        <v>3429</v>
      </c>
      <c r="F329" s="2961">
        <v>90.53</v>
      </c>
    </row>
    <row r="330" spans="1:6">
      <c r="A330" s="2961">
        <v>328</v>
      </c>
      <c r="B330" s="2961" t="s">
        <v>3383</v>
      </c>
      <c r="D330" s="2961">
        <v>1003</v>
      </c>
      <c r="E330" s="2961" t="s">
        <v>3430</v>
      </c>
      <c r="F330" s="2961">
        <v>108.27</v>
      </c>
    </row>
    <row r="331" spans="1:6">
      <c r="A331" s="2961">
        <v>329</v>
      </c>
      <c r="B331" s="2961" t="s">
        <v>3383</v>
      </c>
      <c r="D331" s="2961">
        <v>1004</v>
      </c>
      <c r="E331" s="2961" t="s">
        <v>3431</v>
      </c>
      <c r="F331" s="2961">
        <v>107.19</v>
      </c>
    </row>
    <row r="332" spans="1:6">
      <c r="A332" s="2961">
        <v>330</v>
      </c>
      <c r="B332" s="2961" t="s">
        <v>3383</v>
      </c>
      <c r="D332" s="2961">
        <v>1005</v>
      </c>
      <c r="E332" s="2961" t="s">
        <v>3432</v>
      </c>
      <c r="F332" s="2961">
        <v>85.18</v>
      </c>
    </row>
    <row r="333" spans="1:6">
      <c r="A333" s="2961">
        <v>331</v>
      </c>
      <c r="B333" s="2961" t="s">
        <v>3383</v>
      </c>
      <c r="D333" s="2961">
        <v>1006</v>
      </c>
      <c r="E333" s="2961" t="s">
        <v>3433</v>
      </c>
      <c r="F333" s="2961">
        <v>90.53</v>
      </c>
    </row>
    <row r="334" spans="1:6">
      <c r="A334" s="2961">
        <v>332</v>
      </c>
      <c r="B334" s="2961" t="s">
        <v>3383</v>
      </c>
      <c r="D334" s="2961">
        <v>1101</v>
      </c>
      <c r="E334" s="2961" t="s">
        <v>3434</v>
      </c>
      <c r="F334" s="2961">
        <v>90.53</v>
      </c>
    </row>
    <row r="335" spans="1:6">
      <c r="A335" s="2961">
        <v>333</v>
      </c>
      <c r="B335" s="2961" t="s">
        <v>3383</v>
      </c>
      <c r="D335" s="2961">
        <v>1103</v>
      </c>
      <c r="E335" s="2961" t="s">
        <v>3435</v>
      </c>
      <c r="F335" s="2961">
        <v>108.27</v>
      </c>
    </row>
    <row r="336" spans="1:6">
      <c r="A336" s="2961">
        <v>334</v>
      </c>
      <c r="B336" s="2961" t="s">
        <v>3383</v>
      </c>
      <c r="D336" s="2961">
        <v>1104</v>
      </c>
      <c r="E336" s="2961" t="s">
        <v>3436</v>
      </c>
      <c r="F336" s="2961">
        <v>107.19</v>
      </c>
    </row>
    <row r="337" spans="1:6">
      <c r="A337" s="2961">
        <v>335</v>
      </c>
      <c r="B337" s="2961" t="s">
        <v>3383</v>
      </c>
      <c r="D337" s="2961">
        <v>1105</v>
      </c>
      <c r="E337" s="2961" t="s">
        <v>3437</v>
      </c>
      <c r="F337" s="2961">
        <v>85.18</v>
      </c>
    </row>
    <row r="338" spans="1:6">
      <c r="A338" s="2961">
        <v>336</v>
      </c>
      <c r="B338" s="2961" t="s">
        <v>3383</v>
      </c>
      <c r="D338" s="2961">
        <v>1106</v>
      </c>
      <c r="E338" s="2961" t="s">
        <v>3438</v>
      </c>
      <c r="F338" s="2961">
        <v>90.53</v>
      </c>
    </row>
    <row r="339" spans="1:6">
      <c r="A339" s="2961">
        <v>337</v>
      </c>
      <c r="B339" s="2961" t="s">
        <v>3383</v>
      </c>
      <c r="D339" s="2961">
        <v>1201</v>
      </c>
      <c r="E339" s="2961" t="s">
        <v>3439</v>
      </c>
      <c r="F339" s="2961">
        <v>90.53</v>
      </c>
    </row>
    <row r="340" spans="1:6">
      <c r="A340" s="2961">
        <v>338</v>
      </c>
      <c r="B340" s="2961" t="s">
        <v>3383</v>
      </c>
      <c r="D340" s="2961">
        <v>1202</v>
      </c>
      <c r="E340" s="2961" t="s">
        <v>3440</v>
      </c>
      <c r="F340" s="2961">
        <v>85.18</v>
      </c>
    </row>
    <row r="341" spans="1:6">
      <c r="A341" s="2961">
        <v>339</v>
      </c>
      <c r="B341" s="2961" t="s">
        <v>3383</v>
      </c>
      <c r="D341" s="2961">
        <v>1203</v>
      </c>
      <c r="E341" s="2961" t="s">
        <v>3441</v>
      </c>
      <c r="F341" s="2961">
        <v>108.27</v>
      </c>
    </row>
    <row r="342" spans="1:6">
      <c r="A342" s="2961">
        <v>340</v>
      </c>
      <c r="B342" s="2961" t="s">
        <v>3383</v>
      </c>
      <c r="D342" s="2961">
        <v>1204</v>
      </c>
      <c r="E342" s="2961" t="s">
        <v>3442</v>
      </c>
      <c r="F342" s="2961">
        <v>107.19</v>
      </c>
    </row>
    <row r="343" spans="1:6">
      <c r="A343" s="2961">
        <v>341</v>
      </c>
      <c r="B343" s="2961" t="s">
        <v>3383</v>
      </c>
      <c r="D343" s="2961">
        <v>1205</v>
      </c>
      <c r="E343" s="2961" t="s">
        <v>3443</v>
      </c>
      <c r="F343" s="2961">
        <v>85.18</v>
      </c>
    </row>
    <row r="344" spans="1:6">
      <c r="A344" s="2961">
        <v>342</v>
      </c>
      <c r="B344" s="2961" t="s">
        <v>3383</v>
      </c>
      <c r="D344" s="2961">
        <v>1206</v>
      </c>
      <c r="E344" s="2961" t="s">
        <v>3444</v>
      </c>
      <c r="F344" s="2961">
        <v>90.53</v>
      </c>
    </row>
    <row r="345" spans="1:6">
      <c r="A345" s="2961">
        <v>343</v>
      </c>
      <c r="B345" s="2961" t="s">
        <v>3383</v>
      </c>
      <c r="D345" s="2961">
        <v>1301</v>
      </c>
      <c r="E345" s="2961" t="s">
        <v>3445</v>
      </c>
      <c r="F345" s="2961">
        <v>90.53</v>
      </c>
    </row>
    <row r="346" spans="1:6">
      <c r="A346" s="2961">
        <v>344</v>
      </c>
      <c r="B346" s="2961" t="s">
        <v>3383</v>
      </c>
      <c r="D346" s="2961">
        <v>1302</v>
      </c>
      <c r="E346" s="2961" t="s">
        <v>3446</v>
      </c>
      <c r="F346" s="2961">
        <v>85.18</v>
      </c>
    </row>
    <row r="347" spans="1:6">
      <c r="A347" s="2961">
        <v>345</v>
      </c>
      <c r="B347" s="2961" t="s">
        <v>3383</v>
      </c>
      <c r="D347" s="2961">
        <v>1303</v>
      </c>
      <c r="E347" s="2961" t="s">
        <v>3447</v>
      </c>
      <c r="F347" s="2961">
        <v>108.27</v>
      </c>
    </row>
    <row r="348" spans="1:6">
      <c r="A348" s="2961">
        <v>346</v>
      </c>
      <c r="B348" s="2961" t="s">
        <v>3383</v>
      </c>
      <c r="D348" s="2961">
        <v>1304</v>
      </c>
      <c r="E348" s="2961" t="s">
        <v>3448</v>
      </c>
      <c r="F348" s="2961">
        <v>107.19</v>
      </c>
    </row>
    <row r="349" spans="1:6">
      <c r="A349" s="2961">
        <v>347</v>
      </c>
      <c r="B349" s="2961" t="s">
        <v>3383</v>
      </c>
      <c r="D349" s="2961">
        <v>1306</v>
      </c>
      <c r="E349" s="2961" t="s">
        <v>3449</v>
      </c>
      <c r="F349" s="2961">
        <v>90.53</v>
      </c>
    </row>
    <row r="350" spans="1:6">
      <c r="A350" s="2961">
        <v>348</v>
      </c>
      <c r="B350" s="2961" t="s">
        <v>3383</v>
      </c>
      <c r="D350" s="2961">
        <v>1401</v>
      </c>
      <c r="E350" s="2961" t="s">
        <v>3450</v>
      </c>
      <c r="F350" s="2961">
        <v>90.53</v>
      </c>
    </row>
    <row r="351" spans="1:6">
      <c r="A351" s="2961">
        <v>349</v>
      </c>
      <c r="B351" s="2961" t="s">
        <v>3383</v>
      </c>
      <c r="D351" s="2961">
        <v>1402</v>
      </c>
      <c r="E351" s="2961" t="s">
        <v>3451</v>
      </c>
      <c r="F351" s="2961">
        <v>85.18</v>
      </c>
    </row>
    <row r="352" spans="1:6">
      <c r="A352" s="2961">
        <v>350</v>
      </c>
      <c r="B352" s="2961" t="s">
        <v>3383</v>
      </c>
      <c r="D352" s="2961">
        <v>1404</v>
      </c>
      <c r="E352" s="2961" t="s">
        <v>3452</v>
      </c>
      <c r="F352" s="2961">
        <v>107.19</v>
      </c>
    </row>
    <row r="353" spans="1:6">
      <c r="A353" s="2961">
        <v>351</v>
      </c>
      <c r="B353" s="2961" t="s">
        <v>3383</v>
      </c>
      <c r="D353" s="2961">
        <v>1405</v>
      </c>
      <c r="E353" s="2961" t="s">
        <v>3453</v>
      </c>
      <c r="F353" s="2961">
        <v>85.18</v>
      </c>
    </row>
    <row r="354" spans="1:6">
      <c r="A354" s="2961">
        <v>352</v>
      </c>
      <c r="B354" s="2961" t="s">
        <v>3383</v>
      </c>
      <c r="D354" s="2961">
        <v>1406</v>
      </c>
      <c r="E354" s="2961" t="s">
        <v>3454</v>
      </c>
      <c r="F354" s="2961">
        <v>90.53</v>
      </c>
    </row>
    <row r="355" spans="1:6">
      <c r="A355" s="2961">
        <v>353</v>
      </c>
      <c r="B355" s="2961" t="s">
        <v>3383</v>
      </c>
      <c r="D355" s="2961">
        <v>1501</v>
      </c>
      <c r="E355" s="2961" t="s">
        <v>3455</v>
      </c>
      <c r="F355" s="2961">
        <v>90.53</v>
      </c>
    </row>
    <row r="356" spans="1:6">
      <c r="A356" s="2961">
        <v>354</v>
      </c>
      <c r="B356" s="2961" t="s">
        <v>3383</v>
      </c>
      <c r="D356" s="2961">
        <v>1502</v>
      </c>
      <c r="E356" s="2961" t="s">
        <v>3456</v>
      </c>
      <c r="F356" s="2961">
        <v>85.18</v>
      </c>
    </row>
    <row r="357" spans="1:6">
      <c r="A357" s="2961">
        <v>355</v>
      </c>
      <c r="B357" s="2961" t="s">
        <v>3383</v>
      </c>
      <c r="D357" s="2961">
        <v>1503</v>
      </c>
      <c r="E357" s="2961" t="s">
        <v>3457</v>
      </c>
      <c r="F357" s="2961">
        <v>108.27</v>
      </c>
    </row>
    <row r="358" spans="1:6">
      <c r="A358" s="2961">
        <v>356</v>
      </c>
      <c r="B358" s="2961" t="s">
        <v>3383</v>
      </c>
      <c r="D358" s="2961">
        <v>1504</v>
      </c>
      <c r="E358" s="2961" t="s">
        <v>3458</v>
      </c>
      <c r="F358" s="2961">
        <v>107.19</v>
      </c>
    </row>
    <row r="359" spans="1:6">
      <c r="A359" s="2961">
        <v>357</v>
      </c>
      <c r="B359" s="2961" t="s">
        <v>3383</v>
      </c>
      <c r="D359" s="2961">
        <v>1505</v>
      </c>
      <c r="E359" s="2961" t="s">
        <v>3459</v>
      </c>
      <c r="F359" s="2961">
        <v>85.18</v>
      </c>
    </row>
    <row r="360" spans="1:6">
      <c r="A360" s="2961">
        <v>358</v>
      </c>
      <c r="B360" s="2961" t="s">
        <v>3383</v>
      </c>
      <c r="D360" s="2961">
        <v>1506</v>
      </c>
      <c r="E360" s="2961" t="s">
        <v>3460</v>
      </c>
      <c r="F360" s="2961">
        <v>90.53</v>
      </c>
    </row>
    <row r="361" spans="1:6">
      <c r="A361" s="2961">
        <v>359</v>
      </c>
      <c r="B361" s="2961" t="s">
        <v>3383</v>
      </c>
      <c r="D361" s="2961">
        <v>1601</v>
      </c>
      <c r="E361" s="2961" t="s">
        <v>3461</v>
      </c>
      <c r="F361" s="2961">
        <v>90.53</v>
      </c>
    </row>
    <row r="362" spans="1:6">
      <c r="A362" s="2961">
        <v>360</v>
      </c>
      <c r="B362" s="2961" t="s">
        <v>3383</v>
      </c>
      <c r="D362" s="2961">
        <v>1602</v>
      </c>
      <c r="E362" s="2961" t="s">
        <v>3462</v>
      </c>
      <c r="F362" s="2961">
        <v>85.18</v>
      </c>
    </row>
    <row r="363" spans="1:6">
      <c r="A363" s="2961">
        <v>361</v>
      </c>
      <c r="B363" s="2961" t="s">
        <v>3383</v>
      </c>
      <c r="D363" s="2961">
        <v>1604</v>
      </c>
      <c r="E363" s="2961" t="s">
        <v>3463</v>
      </c>
      <c r="F363" s="2961">
        <v>107.19</v>
      </c>
    </row>
    <row r="364" spans="1:6">
      <c r="A364" s="2961">
        <v>362</v>
      </c>
      <c r="B364" s="2961" t="s">
        <v>3383</v>
      </c>
      <c r="D364" s="2961">
        <v>1605</v>
      </c>
      <c r="E364" s="2961" t="s">
        <v>3464</v>
      </c>
      <c r="F364" s="2961">
        <v>85.18</v>
      </c>
    </row>
    <row r="365" spans="1:6">
      <c r="A365" s="2961">
        <v>363</v>
      </c>
      <c r="B365" s="2961" t="s">
        <v>3383</v>
      </c>
      <c r="D365" s="2961">
        <v>1701</v>
      </c>
      <c r="E365" s="2961" t="s">
        <v>3465</v>
      </c>
      <c r="F365" s="2961">
        <v>90.53</v>
      </c>
    </row>
    <row r="366" spans="1:6">
      <c r="A366" s="2961">
        <v>364</v>
      </c>
      <c r="B366" s="2961" t="s">
        <v>3383</v>
      </c>
      <c r="D366" s="2961">
        <v>1702</v>
      </c>
      <c r="E366" s="2961" t="s">
        <v>3466</v>
      </c>
      <c r="F366" s="2961">
        <v>85.18</v>
      </c>
    </row>
    <row r="367" spans="1:6">
      <c r="A367" s="2961">
        <v>365</v>
      </c>
      <c r="B367" s="2961" t="s">
        <v>3383</v>
      </c>
      <c r="D367" s="2961">
        <v>1703</v>
      </c>
      <c r="E367" s="2961" t="s">
        <v>3467</v>
      </c>
      <c r="F367" s="2961">
        <v>108.27</v>
      </c>
    </row>
    <row r="368" spans="1:6">
      <c r="A368" s="2961">
        <v>366</v>
      </c>
      <c r="B368" s="2961" t="s">
        <v>3383</v>
      </c>
      <c r="D368" s="2961">
        <v>1704</v>
      </c>
      <c r="E368" s="2961" t="s">
        <v>3468</v>
      </c>
      <c r="F368" s="2961">
        <v>107.19</v>
      </c>
    </row>
    <row r="369" spans="1:6">
      <c r="A369" s="2961">
        <v>367</v>
      </c>
      <c r="B369" s="2961" t="s">
        <v>3383</v>
      </c>
      <c r="D369" s="2961">
        <v>1705</v>
      </c>
      <c r="E369" s="2961" t="s">
        <v>3469</v>
      </c>
      <c r="F369" s="2961">
        <v>85.18</v>
      </c>
    </row>
    <row r="370" spans="1:6">
      <c r="A370" s="2961">
        <v>368</v>
      </c>
      <c r="B370" s="2961" t="s">
        <v>3383</v>
      </c>
      <c r="D370" s="2961">
        <v>1706</v>
      </c>
      <c r="E370" s="2961" t="s">
        <v>3470</v>
      </c>
      <c r="F370" s="2961">
        <v>90.53</v>
      </c>
    </row>
    <row r="371" spans="1:6">
      <c r="A371" s="2961">
        <v>369</v>
      </c>
      <c r="B371" s="2961" t="s">
        <v>3383</v>
      </c>
      <c r="D371" s="2961">
        <v>1801</v>
      </c>
      <c r="E371" s="2961" t="s">
        <v>3471</v>
      </c>
      <c r="F371" s="2961">
        <v>90.53</v>
      </c>
    </row>
    <row r="372" spans="1:6">
      <c r="A372" s="2961">
        <v>370</v>
      </c>
      <c r="B372" s="2961" t="s">
        <v>3383</v>
      </c>
      <c r="D372" s="2961">
        <v>1802</v>
      </c>
      <c r="E372" s="2961" t="s">
        <v>3472</v>
      </c>
      <c r="F372" s="2961">
        <v>85.18</v>
      </c>
    </row>
    <row r="373" spans="1:6">
      <c r="A373" s="2961">
        <v>371</v>
      </c>
      <c r="B373" s="2961" t="s">
        <v>3383</v>
      </c>
      <c r="D373" s="2961">
        <v>1803</v>
      </c>
      <c r="E373" s="2961" t="s">
        <v>3473</v>
      </c>
      <c r="F373" s="2961">
        <v>108.27</v>
      </c>
    </row>
    <row r="374" spans="1:6">
      <c r="A374" s="2961">
        <v>372</v>
      </c>
      <c r="B374" s="2961" t="s">
        <v>3383</v>
      </c>
      <c r="D374" s="2961">
        <v>1805</v>
      </c>
      <c r="E374" s="2961" t="s">
        <v>3474</v>
      </c>
      <c r="F374" s="2961">
        <v>85.18</v>
      </c>
    </row>
    <row r="375" spans="1:6">
      <c r="A375" s="2961">
        <v>373</v>
      </c>
      <c r="B375" s="2961" t="s">
        <v>3383</v>
      </c>
      <c r="D375" s="2961">
        <v>1806</v>
      </c>
      <c r="E375" s="2961" t="s">
        <v>3475</v>
      </c>
      <c r="F375" s="2961">
        <v>90.53</v>
      </c>
    </row>
    <row r="376" spans="1:6">
      <c r="A376" s="2961">
        <v>374</v>
      </c>
      <c r="B376" s="2961" t="s">
        <v>3383</v>
      </c>
      <c r="D376" s="2961">
        <v>1901</v>
      </c>
      <c r="E376" s="2961" t="s">
        <v>3476</v>
      </c>
      <c r="F376" s="2961">
        <v>90.53</v>
      </c>
    </row>
    <row r="377" spans="1:6">
      <c r="A377" s="2961">
        <v>375</v>
      </c>
      <c r="B377" s="2961" t="s">
        <v>3383</v>
      </c>
      <c r="D377" s="2961">
        <v>1902</v>
      </c>
      <c r="E377" s="2961" t="s">
        <v>3477</v>
      </c>
      <c r="F377" s="2961">
        <v>85.18</v>
      </c>
    </row>
    <row r="378" spans="1:6">
      <c r="A378" s="2961">
        <v>376</v>
      </c>
      <c r="B378" s="2961" t="s">
        <v>3383</v>
      </c>
      <c r="D378" s="2961">
        <v>1903</v>
      </c>
      <c r="E378" s="2961" t="s">
        <v>3478</v>
      </c>
      <c r="F378" s="2961">
        <v>108.27</v>
      </c>
    </row>
    <row r="379" spans="1:6">
      <c r="A379" s="2961">
        <v>377</v>
      </c>
      <c r="B379" s="2961" t="s">
        <v>3383</v>
      </c>
      <c r="D379" s="2961">
        <v>1904</v>
      </c>
      <c r="E379" s="2961" t="s">
        <v>3479</v>
      </c>
      <c r="F379" s="2961">
        <v>107.19</v>
      </c>
    </row>
    <row r="380" spans="1:6">
      <c r="A380" s="2961">
        <v>378</v>
      </c>
      <c r="B380" s="2961" t="s">
        <v>3383</v>
      </c>
      <c r="D380" s="2961">
        <v>1905</v>
      </c>
      <c r="E380" s="2961" t="s">
        <v>3480</v>
      </c>
      <c r="F380" s="2961">
        <v>85.18</v>
      </c>
    </row>
    <row r="381" spans="1:6">
      <c r="A381" s="2961">
        <v>379</v>
      </c>
      <c r="B381" s="2961" t="s">
        <v>3383</v>
      </c>
      <c r="D381" s="2961">
        <v>1906</v>
      </c>
      <c r="E381" s="2961" t="s">
        <v>3481</v>
      </c>
      <c r="F381" s="2961">
        <v>90.53</v>
      </c>
    </row>
    <row r="382" spans="1:6">
      <c r="A382" s="2961">
        <v>380</v>
      </c>
      <c r="B382" s="2961" t="s">
        <v>3383</v>
      </c>
      <c r="D382" s="2961">
        <v>2001</v>
      </c>
      <c r="E382" s="2961" t="s">
        <v>3482</v>
      </c>
      <c r="F382" s="2961">
        <v>90.53</v>
      </c>
    </row>
    <row r="383" spans="1:6">
      <c r="A383" s="2961">
        <v>381</v>
      </c>
      <c r="B383" s="2961" t="s">
        <v>3383</v>
      </c>
      <c r="D383" s="2961">
        <v>2002</v>
      </c>
      <c r="E383" s="2961" t="s">
        <v>3483</v>
      </c>
      <c r="F383" s="2961">
        <v>85.18</v>
      </c>
    </row>
    <row r="384" spans="1:6">
      <c r="A384" s="2961">
        <v>382</v>
      </c>
      <c r="B384" s="2961" t="s">
        <v>3383</v>
      </c>
      <c r="D384" s="2961">
        <v>2003</v>
      </c>
      <c r="E384" s="2961" t="s">
        <v>3484</v>
      </c>
      <c r="F384" s="2961">
        <v>108.27</v>
      </c>
    </row>
    <row r="385" spans="1:6">
      <c r="A385" s="2961">
        <v>383</v>
      </c>
      <c r="B385" s="2961" t="s">
        <v>3383</v>
      </c>
      <c r="D385" s="2961">
        <v>2004</v>
      </c>
      <c r="E385" s="2961" t="s">
        <v>3485</v>
      </c>
      <c r="F385" s="2961">
        <v>107.19</v>
      </c>
    </row>
    <row r="386" spans="1:6">
      <c r="A386" s="2961">
        <v>384</v>
      </c>
      <c r="B386" s="2961" t="s">
        <v>3383</v>
      </c>
      <c r="D386" s="2961">
        <v>2005</v>
      </c>
      <c r="E386" s="2961" t="s">
        <v>3486</v>
      </c>
      <c r="F386" s="2961">
        <v>85.18</v>
      </c>
    </row>
    <row r="387" spans="1:6">
      <c r="A387" s="2961">
        <v>385</v>
      </c>
      <c r="B387" s="2961" t="s">
        <v>3383</v>
      </c>
      <c r="D387" s="2961">
        <v>2103</v>
      </c>
      <c r="E387" s="2961" t="s">
        <v>3487</v>
      </c>
      <c r="F387" s="2961">
        <v>108.27</v>
      </c>
    </row>
    <row r="388" spans="1:6">
      <c r="A388" s="2961">
        <v>386</v>
      </c>
      <c r="B388" s="2961" t="s">
        <v>3383</v>
      </c>
      <c r="D388" s="2961">
        <v>2104</v>
      </c>
      <c r="E388" s="2961" t="s">
        <v>3488</v>
      </c>
      <c r="F388" s="2961">
        <v>107.19</v>
      </c>
    </row>
    <row r="389" spans="1:6">
      <c r="A389" s="2961">
        <v>387</v>
      </c>
      <c r="B389" s="2961" t="s">
        <v>3383</v>
      </c>
      <c r="D389" s="2961">
        <v>2105</v>
      </c>
      <c r="E389" s="2961" t="s">
        <v>3489</v>
      </c>
      <c r="F389" s="2961">
        <v>85.18</v>
      </c>
    </row>
    <row r="390" spans="1:6">
      <c r="A390" s="2961">
        <v>388</v>
      </c>
      <c r="B390" s="2961" t="s">
        <v>3383</v>
      </c>
      <c r="D390" s="2961">
        <v>2106</v>
      </c>
      <c r="E390" s="2961" t="s">
        <v>3490</v>
      </c>
      <c r="F390" s="2961">
        <v>90.53</v>
      </c>
    </row>
    <row r="391" spans="1:6">
      <c r="A391" s="2961">
        <v>389</v>
      </c>
      <c r="B391" s="2961" t="s">
        <v>3383</v>
      </c>
      <c r="D391" s="2961">
        <v>2201</v>
      </c>
      <c r="E391" s="2961" t="s">
        <v>3491</v>
      </c>
      <c r="F391" s="2961">
        <v>90.53</v>
      </c>
    </row>
    <row r="392" spans="1:6">
      <c r="A392" s="2961">
        <v>390</v>
      </c>
      <c r="B392" s="2961" t="s">
        <v>3383</v>
      </c>
      <c r="D392" s="2961">
        <v>2202</v>
      </c>
      <c r="E392" s="2961" t="s">
        <v>3492</v>
      </c>
      <c r="F392" s="2961">
        <v>85.18</v>
      </c>
    </row>
    <row r="393" spans="1:6">
      <c r="A393" s="2961">
        <v>391</v>
      </c>
      <c r="B393" s="2961" t="s">
        <v>3383</v>
      </c>
      <c r="D393" s="2961">
        <v>2203</v>
      </c>
      <c r="E393" s="2961" t="s">
        <v>3493</v>
      </c>
      <c r="F393" s="2961">
        <v>108.27</v>
      </c>
    </row>
    <row r="394" spans="1:6">
      <c r="A394" s="2961">
        <v>392</v>
      </c>
      <c r="B394" s="2961" t="s">
        <v>3383</v>
      </c>
      <c r="D394" s="2961">
        <v>2204</v>
      </c>
      <c r="E394" s="2961" t="s">
        <v>3494</v>
      </c>
      <c r="F394" s="2961">
        <v>107.19</v>
      </c>
    </row>
    <row r="395" spans="1:6">
      <c r="A395" s="2961">
        <v>393</v>
      </c>
      <c r="B395" s="2961" t="s">
        <v>3383</v>
      </c>
      <c r="D395" s="2961">
        <v>2205</v>
      </c>
      <c r="E395" s="2961" t="s">
        <v>3495</v>
      </c>
      <c r="F395" s="2961">
        <v>85.18</v>
      </c>
    </row>
    <row r="396" spans="1:6">
      <c r="A396" s="2961">
        <v>394</v>
      </c>
      <c r="B396" s="2961" t="s">
        <v>3383</v>
      </c>
      <c r="D396" s="2961">
        <v>2206</v>
      </c>
      <c r="E396" s="2961" t="s">
        <v>3496</v>
      </c>
      <c r="F396" s="2961">
        <v>90.53</v>
      </c>
    </row>
    <row r="397" spans="1:6">
      <c r="A397" s="2961">
        <v>395</v>
      </c>
      <c r="B397" s="2961" t="s">
        <v>3383</v>
      </c>
      <c r="D397" s="2961">
        <v>2301</v>
      </c>
      <c r="E397" s="2961" t="s">
        <v>3497</v>
      </c>
      <c r="F397" s="2961">
        <v>90.53</v>
      </c>
    </row>
    <row r="398" spans="1:6">
      <c r="A398" s="2961">
        <v>396</v>
      </c>
      <c r="B398" s="2961" t="s">
        <v>3383</v>
      </c>
      <c r="D398" s="2961">
        <v>2302</v>
      </c>
      <c r="E398" s="2961" t="s">
        <v>3498</v>
      </c>
      <c r="F398" s="2961">
        <v>85.18</v>
      </c>
    </row>
    <row r="399" spans="1:6">
      <c r="A399" s="2961">
        <v>397</v>
      </c>
      <c r="B399" s="2961" t="s">
        <v>3383</v>
      </c>
      <c r="D399" s="2961">
        <v>2303</v>
      </c>
      <c r="E399" s="2961" t="s">
        <v>3499</v>
      </c>
      <c r="F399" s="2961">
        <v>108.27</v>
      </c>
    </row>
    <row r="400" spans="1:6">
      <c r="A400" s="2961">
        <v>398</v>
      </c>
      <c r="B400" s="2961" t="s">
        <v>3383</v>
      </c>
      <c r="D400" s="2961">
        <v>2304</v>
      </c>
      <c r="E400" s="2961" t="s">
        <v>3500</v>
      </c>
      <c r="F400" s="2961">
        <v>107.19</v>
      </c>
    </row>
    <row r="401" spans="1:6">
      <c r="A401" s="2961">
        <v>399</v>
      </c>
      <c r="B401" s="2961" t="s">
        <v>3383</v>
      </c>
      <c r="D401" s="2961">
        <v>2305</v>
      </c>
      <c r="E401" s="2961" t="s">
        <v>3501</v>
      </c>
      <c r="F401" s="2961">
        <v>85.18</v>
      </c>
    </row>
    <row r="402" spans="1:6">
      <c r="A402" s="2961">
        <v>400</v>
      </c>
      <c r="B402" s="2961" t="s">
        <v>3383</v>
      </c>
      <c r="D402" s="2961">
        <v>2306</v>
      </c>
      <c r="E402" s="2961" t="s">
        <v>3502</v>
      </c>
      <c r="F402" s="2961">
        <v>90.53</v>
      </c>
    </row>
    <row r="403" spans="1:6">
      <c r="A403" s="2961">
        <v>401</v>
      </c>
      <c r="B403" s="2961" t="s">
        <v>3503</v>
      </c>
      <c r="D403" s="2961">
        <v>601</v>
      </c>
      <c r="E403" s="2961" t="s">
        <v>3504</v>
      </c>
      <c r="F403" s="2961">
        <v>93.34</v>
      </c>
    </row>
    <row r="404" spans="1:6">
      <c r="A404" s="2961">
        <v>402</v>
      </c>
      <c r="B404" s="2961" t="s">
        <v>3503</v>
      </c>
      <c r="D404" s="2961">
        <v>2104</v>
      </c>
      <c r="E404" s="2961" t="s">
        <v>3505</v>
      </c>
      <c r="F404" s="2961">
        <v>88.51</v>
      </c>
    </row>
    <row r="405" spans="1:6">
      <c r="A405" s="2961">
        <v>403</v>
      </c>
      <c r="B405" s="2961" t="s">
        <v>3503</v>
      </c>
      <c r="D405" s="2961">
        <v>2201</v>
      </c>
      <c r="E405" s="2961" t="s">
        <v>3506</v>
      </c>
      <c r="F405" s="2961">
        <v>93.34</v>
      </c>
    </row>
    <row r="406" spans="1:6">
      <c r="A406" s="2961">
        <v>404</v>
      </c>
      <c r="B406" s="2961" t="s">
        <v>3503</v>
      </c>
      <c r="D406" s="2961">
        <v>2301</v>
      </c>
      <c r="E406" s="2961" t="s">
        <v>3507</v>
      </c>
      <c r="F406" s="2961">
        <v>93.34</v>
      </c>
    </row>
    <row r="407" spans="1:6">
      <c r="A407" s="2961">
        <v>405</v>
      </c>
      <c r="B407" s="2961" t="s">
        <v>3508</v>
      </c>
      <c r="D407" s="2961">
        <v>404</v>
      </c>
      <c r="E407" s="2961" t="s">
        <v>3509</v>
      </c>
      <c r="F407" s="2961">
        <v>85.66</v>
      </c>
    </row>
    <row r="408" spans="1:6">
      <c r="A408" s="2961">
        <v>406</v>
      </c>
      <c r="B408" s="2961" t="s">
        <v>3508</v>
      </c>
      <c r="D408" s="2961">
        <v>501</v>
      </c>
      <c r="E408" s="2961" t="s">
        <v>3510</v>
      </c>
      <c r="F408" s="2961">
        <v>96.06</v>
      </c>
    </row>
    <row r="409" spans="1:6">
      <c r="A409" s="2961">
        <v>407</v>
      </c>
      <c r="B409" s="2961" t="s">
        <v>3508</v>
      </c>
      <c r="D409" s="2961">
        <v>502</v>
      </c>
      <c r="E409" s="2961" t="s">
        <v>3511</v>
      </c>
      <c r="F409" s="2961">
        <v>84.3</v>
      </c>
    </row>
    <row r="410" spans="1:6">
      <c r="A410" s="2961">
        <v>408</v>
      </c>
      <c r="B410" s="2961" t="s">
        <v>3508</v>
      </c>
      <c r="D410" s="2961">
        <v>503</v>
      </c>
      <c r="E410" s="2961" t="s">
        <v>3512</v>
      </c>
      <c r="F410" s="2961">
        <v>98.06</v>
      </c>
    </row>
    <row r="411" spans="1:6">
      <c r="A411" s="2961">
        <v>409</v>
      </c>
      <c r="B411" s="2961" t="s">
        <v>3508</v>
      </c>
      <c r="D411" s="2961">
        <v>504</v>
      </c>
      <c r="E411" s="2961" t="s">
        <v>3513</v>
      </c>
      <c r="F411" s="2961">
        <v>85.66</v>
      </c>
    </row>
    <row r="412" spans="1:6">
      <c r="A412" s="2961">
        <v>410</v>
      </c>
      <c r="B412" s="2961" t="s">
        <v>3508</v>
      </c>
      <c r="D412" s="2961">
        <v>505</v>
      </c>
      <c r="E412" s="2961" t="s">
        <v>3514</v>
      </c>
      <c r="F412" s="2961">
        <v>102.83</v>
      </c>
    </row>
    <row r="413" spans="1:6">
      <c r="A413" s="2961">
        <v>411</v>
      </c>
      <c r="B413" s="2961" t="s">
        <v>3508</v>
      </c>
      <c r="D413" s="2961">
        <v>1305</v>
      </c>
      <c r="E413" s="2961" t="s">
        <v>3515</v>
      </c>
      <c r="F413" s="2961">
        <v>102.83</v>
      </c>
    </row>
    <row r="414" spans="1:6">
      <c r="A414" s="2961">
        <v>412</v>
      </c>
      <c r="B414" s="2961" t="s">
        <v>3508</v>
      </c>
      <c r="D414" s="2961">
        <v>1403</v>
      </c>
      <c r="E414" s="2961" t="s">
        <v>3516</v>
      </c>
      <c r="F414" s="2961">
        <v>98.06</v>
      </c>
    </row>
    <row r="415" spans="1:6">
      <c r="A415" s="2961">
        <v>413</v>
      </c>
      <c r="B415" s="2961" t="s">
        <v>3508</v>
      </c>
      <c r="D415" s="2961">
        <v>1803</v>
      </c>
      <c r="E415" s="2961" t="s">
        <v>3517</v>
      </c>
      <c r="F415" s="2961">
        <v>98.06</v>
      </c>
    </row>
    <row r="416" spans="1:6">
      <c r="A416" s="2961">
        <v>414</v>
      </c>
      <c r="B416" s="2961" t="s">
        <v>3508</v>
      </c>
      <c r="D416" s="2961">
        <v>2003</v>
      </c>
      <c r="E416" s="2961" t="s">
        <v>3518</v>
      </c>
      <c r="F416" s="2961">
        <v>98.06</v>
      </c>
    </row>
    <row r="417" spans="1:6">
      <c r="A417" s="2961">
        <v>415</v>
      </c>
      <c r="B417" s="2961" t="s">
        <v>3508</v>
      </c>
      <c r="D417" s="2961">
        <v>2103</v>
      </c>
      <c r="E417" s="2961" t="s">
        <v>3519</v>
      </c>
      <c r="F417" s="2961">
        <v>98.06</v>
      </c>
    </row>
    <row r="418" spans="1:6">
      <c r="A418" s="2961">
        <v>416</v>
      </c>
      <c r="B418" s="2961" t="s">
        <v>3520</v>
      </c>
      <c r="D418" s="2961">
        <v>201</v>
      </c>
      <c r="E418" s="2961" t="s">
        <v>3521</v>
      </c>
      <c r="F418" s="2961">
        <v>93.48</v>
      </c>
    </row>
    <row r="419" spans="1:6">
      <c r="A419" s="2961">
        <v>417</v>
      </c>
      <c r="B419" s="2961" t="s">
        <v>3520</v>
      </c>
      <c r="D419" s="2961">
        <v>501</v>
      </c>
      <c r="E419" s="2961" t="s">
        <v>3522</v>
      </c>
      <c r="F419" s="2961">
        <v>93.48</v>
      </c>
    </row>
    <row r="420" spans="1:6">
      <c r="A420" s="2961">
        <v>418</v>
      </c>
      <c r="B420" s="2961" t="s">
        <v>3520</v>
      </c>
      <c r="D420" s="2961">
        <v>502</v>
      </c>
      <c r="E420" s="2961" t="s">
        <v>3523</v>
      </c>
      <c r="F420" s="2961">
        <v>84.7</v>
      </c>
    </row>
    <row r="421" spans="1:6">
      <c r="A421" s="2961">
        <v>419</v>
      </c>
      <c r="B421" s="2961" t="s">
        <v>3520</v>
      </c>
      <c r="D421" s="2961">
        <v>503</v>
      </c>
      <c r="E421" s="2961" t="s">
        <v>3524</v>
      </c>
      <c r="F421" s="2961">
        <v>106.52</v>
      </c>
    </row>
    <row r="422" spans="1:6">
      <c r="A422" s="2961">
        <v>420</v>
      </c>
      <c r="B422" s="2961" t="s">
        <v>3520</v>
      </c>
      <c r="D422" s="2961">
        <v>504</v>
      </c>
      <c r="E422" s="2961" t="s">
        <v>3525</v>
      </c>
      <c r="F422" s="2961">
        <v>88.64</v>
      </c>
    </row>
    <row r="423" spans="1:6">
      <c r="A423" s="2961">
        <v>421</v>
      </c>
      <c r="B423" s="2961" t="s">
        <v>3526</v>
      </c>
      <c r="D423" s="2961">
        <v>203</v>
      </c>
      <c r="E423" s="2961" t="s">
        <v>3527</v>
      </c>
      <c r="F423" s="2961">
        <v>98</v>
      </c>
    </row>
    <row r="424" spans="1:6">
      <c r="A424" s="2961">
        <v>422</v>
      </c>
      <c r="B424" s="2961" t="s">
        <v>3526</v>
      </c>
      <c r="D424" s="2961">
        <v>603</v>
      </c>
      <c r="E424" s="2961" t="s">
        <v>3528</v>
      </c>
      <c r="F424" s="2961">
        <v>98</v>
      </c>
    </row>
    <row r="425" spans="1:6">
      <c r="A425" s="2961">
        <v>423</v>
      </c>
      <c r="B425" s="2961" t="s">
        <v>3526</v>
      </c>
      <c r="D425" s="2961">
        <v>901</v>
      </c>
      <c r="E425" s="2961" t="s">
        <v>3529</v>
      </c>
      <c r="F425" s="2961">
        <v>96</v>
      </c>
    </row>
    <row r="426" spans="1:6">
      <c r="A426" s="2961">
        <v>424</v>
      </c>
      <c r="B426" s="2961" t="s">
        <v>3526</v>
      </c>
      <c r="D426" s="2961">
        <v>1001</v>
      </c>
      <c r="E426" s="2961" t="s">
        <v>3530</v>
      </c>
      <c r="F426" s="2961">
        <v>96</v>
      </c>
    </row>
    <row r="427" spans="1:6">
      <c r="A427" s="2961">
        <v>425</v>
      </c>
      <c r="B427" s="2961" t="s">
        <v>3526</v>
      </c>
      <c r="D427" s="2961">
        <v>1003</v>
      </c>
      <c r="E427" s="2961" t="s">
        <v>3531</v>
      </c>
      <c r="F427" s="2961">
        <v>98</v>
      </c>
    </row>
    <row r="428" spans="1:6">
      <c r="A428" s="2961">
        <v>426</v>
      </c>
      <c r="B428" s="2961" t="s">
        <v>3526</v>
      </c>
      <c r="D428" s="2961">
        <v>1203</v>
      </c>
      <c r="E428" s="2961" t="s">
        <v>3532</v>
      </c>
      <c r="F428" s="2961">
        <v>98</v>
      </c>
    </row>
    <row r="429" spans="1:6">
      <c r="A429" s="2961">
        <v>427</v>
      </c>
      <c r="B429" s="2961" t="s">
        <v>3526</v>
      </c>
      <c r="D429" s="2961">
        <v>1401</v>
      </c>
      <c r="E429" s="2961" t="s">
        <v>3533</v>
      </c>
      <c r="F429" s="2961">
        <v>96</v>
      </c>
    </row>
    <row r="430" spans="1:6">
      <c r="A430" s="2961">
        <v>428</v>
      </c>
      <c r="B430" s="2961" t="s">
        <v>3526</v>
      </c>
      <c r="D430" s="2961">
        <v>1501</v>
      </c>
      <c r="E430" s="2961" t="s">
        <v>3534</v>
      </c>
      <c r="F430" s="2961">
        <v>96</v>
      </c>
    </row>
    <row r="431" spans="1:6">
      <c r="A431" s="2961">
        <v>429</v>
      </c>
      <c r="B431" s="2961" t="s">
        <v>3526</v>
      </c>
      <c r="D431" s="2961">
        <v>1801</v>
      </c>
      <c r="E431" s="2961" t="s">
        <v>3535</v>
      </c>
      <c r="F431" s="2961">
        <v>96</v>
      </c>
    </row>
    <row r="432" spans="1:6">
      <c r="A432" s="2961">
        <v>430</v>
      </c>
      <c r="B432" s="2961" t="s">
        <v>3526</v>
      </c>
      <c r="D432" s="2961">
        <v>1901</v>
      </c>
      <c r="E432" s="2961" t="s">
        <v>3536</v>
      </c>
      <c r="F432" s="2961">
        <v>96</v>
      </c>
    </row>
    <row r="433" spans="1:6">
      <c r="A433" s="2961">
        <v>431</v>
      </c>
      <c r="B433" s="2961" t="s">
        <v>3526</v>
      </c>
      <c r="D433" s="2961">
        <v>2101</v>
      </c>
      <c r="E433" s="2961" t="s">
        <v>3537</v>
      </c>
      <c r="F433" s="2961">
        <v>96</v>
      </c>
    </row>
    <row r="434" spans="1:6">
      <c r="A434" s="2961">
        <v>432</v>
      </c>
      <c r="B434" s="2961" t="s">
        <v>3526</v>
      </c>
      <c r="D434" s="2961">
        <v>2201</v>
      </c>
      <c r="E434" s="2961" t="s">
        <v>3538</v>
      </c>
      <c r="F434" s="2961">
        <v>96</v>
      </c>
    </row>
    <row r="435" spans="1:6">
      <c r="A435" s="2961">
        <v>433</v>
      </c>
      <c r="B435" s="2961" t="s">
        <v>3539</v>
      </c>
      <c r="D435" s="2961">
        <v>803</v>
      </c>
      <c r="E435" s="2961" t="s">
        <v>3540</v>
      </c>
      <c r="F435" s="2961">
        <v>106.46</v>
      </c>
    </row>
    <row r="436" spans="1:6">
      <c r="A436" s="2961">
        <v>434</v>
      </c>
      <c r="B436" s="2961" t="s">
        <v>3541</v>
      </c>
      <c r="D436" s="2961">
        <v>305</v>
      </c>
      <c r="E436" s="2961" t="s">
        <v>3542</v>
      </c>
      <c r="F436" s="2961">
        <v>102.98</v>
      </c>
    </row>
    <row r="437" spans="1:6">
      <c r="A437" s="2961">
        <v>435</v>
      </c>
      <c r="B437" s="2961" t="s">
        <v>3541</v>
      </c>
      <c r="D437" s="2961">
        <v>503</v>
      </c>
      <c r="E437" s="2961" t="s">
        <v>3543</v>
      </c>
      <c r="F437" s="2961">
        <v>98.2</v>
      </c>
    </row>
    <row r="438" spans="1:6">
      <c r="A438" s="2961">
        <v>436</v>
      </c>
      <c r="B438" s="2961" t="s">
        <v>3541</v>
      </c>
      <c r="D438" s="2961">
        <v>1002</v>
      </c>
      <c r="E438" s="2961" t="s">
        <v>3544</v>
      </c>
      <c r="F438" s="2961">
        <v>84.42</v>
      </c>
    </row>
    <row r="439" spans="1:6">
      <c r="A439" s="2961">
        <v>437</v>
      </c>
      <c r="B439" s="2961" t="s">
        <v>3545</v>
      </c>
      <c r="D439" s="2961">
        <v>303</v>
      </c>
      <c r="E439" s="2961" t="s">
        <v>3546</v>
      </c>
      <c r="F439" s="2961">
        <v>106.68</v>
      </c>
    </row>
    <row r="440" spans="1:6">
      <c r="A440" s="2961">
        <v>438</v>
      </c>
      <c r="B440" s="2961" t="s">
        <v>3545</v>
      </c>
      <c r="D440" s="2961">
        <v>803</v>
      </c>
      <c r="E440" s="2961" t="s">
        <v>3547</v>
      </c>
      <c r="F440" s="2961">
        <v>106.68</v>
      </c>
    </row>
    <row r="441" spans="1:6">
      <c r="A441" s="2961">
        <v>439</v>
      </c>
      <c r="B441" s="2961" t="s">
        <v>3548</v>
      </c>
      <c r="D441" s="2961">
        <v>202</v>
      </c>
      <c r="E441" s="2961" t="s">
        <v>3549</v>
      </c>
      <c r="F441" s="2961">
        <v>109.28</v>
      </c>
    </row>
    <row r="442" spans="1:6">
      <c r="A442" s="2961">
        <v>440</v>
      </c>
      <c r="B442" s="2961" t="s">
        <v>3548</v>
      </c>
      <c r="D442" s="2961">
        <v>203</v>
      </c>
      <c r="E442" s="2961" t="s">
        <v>3550</v>
      </c>
      <c r="F442" s="2961">
        <v>86.82</v>
      </c>
    </row>
    <row r="443" spans="1:6">
      <c r="A443" s="2961">
        <v>441</v>
      </c>
      <c r="B443" s="2961" t="s">
        <v>3548</v>
      </c>
      <c r="D443" s="2961">
        <v>301</v>
      </c>
      <c r="E443" s="2961" t="s">
        <v>3551</v>
      </c>
      <c r="F443" s="2961">
        <v>90.93</v>
      </c>
    </row>
    <row r="444" spans="1:6">
      <c r="A444" s="2961">
        <v>442</v>
      </c>
      <c r="B444" s="2961" t="s">
        <v>3548</v>
      </c>
      <c r="D444" s="2961">
        <v>302</v>
      </c>
      <c r="E444" s="2961" t="s">
        <v>3552</v>
      </c>
      <c r="F444" s="2961">
        <v>109.28</v>
      </c>
    </row>
    <row r="445" spans="1:6">
      <c r="A445" s="2961">
        <v>443</v>
      </c>
      <c r="B445" s="2961" t="s">
        <v>3548</v>
      </c>
      <c r="D445" s="2961">
        <v>303</v>
      </c>
      <c r="E445" s="2961" t="s">
        <v>3553</v>
      </c>
      <c r="F445" s="2961">
        <v>86.82</v>
      </c>
    </row>
    <row r="446" spans="1:6">
      <c r="A446" s="2961">
        <v>444</v>
      </c>
      <c r="B446" s="2961" t="s">
        <v>3548</v>
      </c>
      <c r="D446" s="2961">
        <v>304</v>
      </c>
      <c r="E446" s="2961" t="s">
        <v>3554</v>
      </c>
      <c r="F446" s="2961">
        <v>95.89</v>
      </c>
    </row>
    <row r="447" spans="1:6">
      <c r="A447" s="2961">
        <v>445</v>
      </c>
      <c r="B447" s="2961" t="s">
        <v>3548</v>
      </c>
      <c r="D447" s="2961">
        <v>401</v>
      </c>
      <c r="E447" s="2961" t="s">
        <v>3555</v>
      </c>
      <c r="F447" s="2961">
        <v>90.93</v>
      </c>
    </row>
    <row r="448" spans="1:6">
      <c r="A448" s="2961">
        <v>446</v>
      </c>
      <c r="B448" s="2961" t="s">
        <v>3548</v>
      </c>
      <c r="D448" s="2961">
        <v>402</v>
      </c>
      <c r="E448" s="2961" t="s">
        <v>3556</v>
      </c>
      <c r="F448" s="2961">
        <v>109.28</v>
      </c>
    </row>
    <row r="449" spans="1:6">
      <c r="A449" s="2961">
        <v>447</v>
      </c>
      <c r="B449" s="2961" t="s">
        <v>3548</v>
      </c>
      <c r="D449" s="2961">
        <v>403</v>
      </c>
      <c r="E449" s="2961" t="s">
        <v>3557</v>
      </c>
      <c r="F449" s="2961">
        <v>86.82</v>
      </c>
    </row>
    <row r="450" spans="1:6">
      <c r="A450" s="2961">
        <v>448</v>
      </c>
      <c r="B450" s="2961" t="s">
        <v>3548</v>
      </c>
      <c r="D450" s="2961">
        <v>404</v>
      </c>
      <c r="E450" s="2961" t="s">
        <v>3558</v>
      </c>
      <c r="F450" s="2961">
        <v>95.89</v>
      </c>
    </row>
    <row r="451" spans="1:6">
      <c r="A451" s="2961">
        <v>449</v>
      </c>
      <c r="B451" s="2961" t="s">
        <v>3548</v>
      </c>
      <c r="D451" s="2961">
        <v>501</v>
      </c>
      <c r="E451" s="2961" t="s">
        <v>3559</v>
      </c>
      <c r="F451" s="2961">
        <v>90.93</v>
      </c>
    </row>
    <row r="452" spans="1:6">
      <c r="A452" s="2961">
        <v>450</v>
      </c>
      <c r="B452" s="2961" t="s">
        <v>3548</v>
      </c>
      <c r="D452" s="2961">
        <v>502</v>
      </c>
      <c r="E452" s="2961" t="s">
        <v>3560</v>
      </c>
      <c r="F452" s="2961">
        <v>109.28</v>
      </c>
    </row>
    <row r="453" spans="1:6">
      <c r="A453" s="2961">
        <v>451</v>
      </c>
      <c r="B453" s="2961" t="s">
        <v>3548</v>
      </c>
      <c r="D453" s="2961">
        <v>503</v>
      </c>
      <c r="E453" s="2961" t="s">
        <v>3561</v>
      </c>
      <c r="F453" s="2961">
        <v>86.82</v>
      </c>
    </row>
    <row r="454" spans="1:6">
      <c r="A454" s="2961">
        <v>452</v>
      </c>
      <c r="B454" s="2961" t="s">
        <v>3548</v>
      </c>
      <c r="D454" s="2961">
        <v>504</v>
      </c>
      <c r="E454" s="2961" t="s">
        <v>3562</v>
      </c>
      <c r="F454" s="2961">
        <v>95.89</v>
      </c>
    </row>
    <row r="455" spans="1:6">
      <c r="A455" s="2961">
        <v>453</v>
      </c>
      <c r="B455" s="2961" t="s">
        <v>3548</v>
      </c>
      <c r="D455" s="2961">
        <v>601</v>
      </c>
      <c r="E455" s="2961" t="s">
        <v>3563</v>
      </c>
      <c r="F455" s="2961">
        <v>90.93</v>
      </c>
    </row>
    <row r="456" spans="1:6">
      <c r="A456" s="2961">
        <v>454</v>
      </c>
      <c r="B456" s="2961" t="s">
        <v>3548</v>
      </c>
      <c r="D456" s="2961">
        <v>602</v>
      </c>
      <c r="E456" s="2961" t="s">
        <v>3564</v>
      </c>
      <c r="F456" s="2961">
        <v>109.28</v>
      </c>
    </row>
    <row r="457" spans="1:6">
      <c r="A457" s="2961">
        <v>455</v>
      </c>
      <c r="B457" s="2961" t="s">
        <v>3548</v>
      </c>
      <c r="D457" s="2961">
        <v>603</v>
      </c>
      <c r="E457" s="2961" t="s">
        <v>3565</v>
      </c>
      <c r="F457" s="2961">
        <v>86.82</v>
      </c>
    </row>
    <row r="458" spans="1:6">
      <c r="A458" s="2961">
        <v>456</v>
      </c>
      <c r="B458" s="2961" t="s">
        <v>3548</v>
      </c>
      <c r="D458" s="2961">
        <v>604</v>
      </c>
      <c r="E458" s="2961" t="s">
        <v>3566</v>
      </c>
      <c r="F458" s="2961">
        <v>95.89</v>
      </c>
    </row>
    <row r="459" spans="1:6">
      <c r="A459" s="2961">
        <v>457</v>
      </c>
      <c r="B459" s="2961" t="s">
        <v>3548</v>
      </c>
      <c r="D459" s="2961">
        <v>701</v>
      </c>
      <c r="E459" s="2961" t="s">
        <v>3567</v>
      </c>
      <c r="F459" s="2961">
        <v>90.93</v>
      </c>
    </row>
    <row r="460" spans="1:6">
      <c r="A460" s="2961">
        <v>458</v>
      </c>
      <c r="B460" s="2961" t="s">
        <v>3548</v>
      </c>
      <c r="D460" s="2961">
        <v>702</v>
      </c>
      <c r="E460" s="2961" t="s">
        <v>3568</v>
      </c>
      <c r="F460" s="2961">
        <v>109.28</v>
      </c>
    </row>
    <row r="461" spans="1:6">
      <c r="A461" s="2961">
        <v>459</v>
      </c>
      <c r="B461" s="2961" t="s">
        <v>3548</v>
      </c>
      <c r="D461" s="2961">
        <v>703</v>
      </c>
      <c r="E461" s="2961" t="s">
        <v>3569</v>
      </c>
      <c r="F461" s="2961">
        <v>86.82</v>
      </c>
    </row>
    <row r="462" spans="1:6">
      <c r="A462" s="2961">
        <v>460</v>
      </c>
      <c r="B462" s="2961" t="s">
        <v>3548</v>
      </c>
      <c r="D462" s="2961">
        <v>704</v>
      </c>
      <c r="E462" s="2961" t="s">
        <v>3570</v>
      </c>
      <c r="F462" s="2961">
        <v>95.89</v>
      </c>
    </row>
    <row r="463" spans="1:6">
      <c r="A463" s="2961">
        <v>461</v>
      </c>
      <c r="B463" s="2961" t="s">
        <v>3548</v>
      </c>
      <c r="D463" s="2961">
        <v>801</v>
      </c>
      <c r="E463" s="2961" t="s">
        <v>3571</v>
      </c>
      <c r="F463" s="2961">
        <v>90.93</v>
      </c>
    </row>
    <row r="464" spans="1:6">
      <c r="A464" s="2961">
        <v>462</v>
      </c>
      <c r="B464" s="2961" t="s">
        <v>3548</v>
      </c>
      <c r="D464" s="2961">
        <v>802</v>
      </c>
      <c r="E464" s="2961" t="s">
        <v>3572</v>
      </c>
      <c r="F464" s="2961">
        <v>109.28</v>
      </c>
    </row>
    <row r="465" spans="1:6">
      <c r="A465" s="2961">
        <v>463</v>
      </c>
      <c r="B465" s="2961" t="s">
        <v>3548</v>
      </c>
      <c r="D465" s="2961">
        <v>803</v>
      </c>
      <c r="E465" s="2961" t="s">
        <v>3573</v>
      </c>
      <c r="F465" s="2961">
        <v>86.82</v>
      </c>
    </row>
    <row r="466" spans="1:6">
      <c r="A466" s="2961">
        <v>464</v>
      </c>
      <c r="B466" s="2961" t="s">
        <v>3548</v>
      </c>
      <c r="D466" s="2961">
        <v>804</v>
      </c>
      <c r="E466" s="2961" t="s">
        <v>3574</v>
      </c>
      <c r="F466" s="2961">
        <v>95.89</v>
      </c>
    </row>
    <row r="467" spans="1:6">
      <c r="A467" s="2961">
        <v>465</v>
      </c>
      <c r="B467" s="2961" t="s">
        <v>3548</v>
      </c>
      <c r="D467" s="2961">
        <v>901</v>
      </c>
      <c r="E467" s="2961" t="s">
        <v>3575</v>
      </c>
      <c r="F467" s="2961">
        <v>90.93</v>
      </c>
    </row>
    <row r="468" spans="1:6">
      <c r="A468" s="2961">
        <v>466</v>
      </c>
      <c r="B468" s="2961" t="s">
        <v>3548</v>
      </c>
      <c r="D468" s="2961">
        <v>902</v>
      </c>
      <c r="E468" s="2961" t="s">
        <v>3576</v>
      </c>
      <c r="F468" s="2961">
        <v>109.28</v>
      </c>
    </row>
    <row r="469" spans="1:6">
      <c r="A469" s="2961">
        <v>467</v>
      </c>
      <c r="B469" s="2961" t="s">
        <v>3548</v>
      </c>
      <c r="D469" s="2961">
        <v>903</v>
      </c>
      <c r="E469" s="2961" t="s">
        <v>3577</v>
      </c>
      <c r="F469" s="2961">
        <v>86.82</v>
      </c>
    </row>
    <row r="470" spans="1:6">
      <c r="A470" s="2961">
        <v>468</v>
      </c>
      <c r="B470" s="2961" t="s">
        <v>3548</v>
      </c>
      <c r="D470" s="2961">
        <v>904</v>
      </c>
      <c r="E470" s="2961" t="s">
        <v>3578</v>
      </c>
      <c r="F470" s="2961">
        <v>95.89</v>
      </c>
    </row>
    <row r="471" spans="1:6">
      <c r="A471" s="2961">
        <v>469</v>
      </c>
      <c r="B471" s="2961" t="s">
        <v>3548</v>
      </c>
      <c r="D471" s="2961">
        <v>1001</v>
      </c>
      <c r="E471" s="2961" t="s">
        <v>3579</v>
      </c>
      <c r="F471" s="2961">
        <v>90.93</v>
      </c>
    </row>
    <row r="472" spans="1:6">
      <c r="A472" s="2961">
        <v>470</v>
      </c>
      <c r="B472" s="2961" t="s">
        <v>3548</v>
      </c>
      <c r="D472" s="2961">
        <v>1002</v>
      </c>
      <c r="E472" s="2961" t="s">
        <v>3580</v>
      </c>
      <c r="F472" s="2961">
        <v>109.28</v>
      </c>
    </row>
    <row r="473" spans="1:6">
      <c r="A473" s="2961">
        <v>471</v>
      </c>
      <c r="B473" s="2961" t="s">
        <v>3548</v>
      </c>
      <c r="D473" s="2961">
        <v>1003</v>
      </c>
      <c r="E473" s="2961" t="s">
        <v>3581</v>
      </c>
      <c r="F473" s="2961">
        <v>86.82</v>
      </c>
    </row>
    <row r="474" spans="1:6">
      <c r="A474" s="2961">
        <v>472</v>
      </c>
      <c r="B474" s="2961" t="s">
        <v>3548</v>
      </c>
      <c r="D474" s="2961">
        <v>1004</v>
      </c>
      <c r="E474" s="2961" t="s">
        <v>3582</v>
      </c>
      <c r="F474" s="2961">
        <v>95.89</v>
      </c>
    </row>
    <row r="475" spans="1:6">
      <c r="A475" s="2961">
        <v>473</v>
      </c>
      <c r="B475" s="2961" t="s">
        <v>3548</v>
      </c>
      <c r="D475" s="2961">
        <v>1101</v>
      </c>
      <c r="E475" s="2961" t="s">
        <v>3583</v>
      </c>
      <c r="F475" s="2961">
        <v>90.93</v>
      </c>
    </row>
    <row r="476" spans="1:6">
      <c r="A476" s="2961">
        <v>474</v>
      </c>
      <c r="B476" s="2961" t="s">
        <v>3548</v>
      </c>
      <c r="D476" s="2961">
        <v>1102</v>
      </c>
      <c r="E476" s="2961" t="s">
        <v>3584</v>
      </c>
      <c r="F476" s="2961">
        <v>109.28</v>
      </c>
    </row>
    <row r="477" spans="1:6">
      <c r="A477" s="2961">
        <v>475</v>
      </c>
      <c r="B477" s="2961" t="s">
        <v>3548</v>
      </c>
      <c r="D477" s="2961">
        <v>1103</v>
      </c>
      <c r="E477" s="2961" t="s">
        <v>3585</v>
      </c>
      <c r="F477" s="2961">
        <v>86.82</v>
      </c>
    </row>
    <row r="478" spans="1:6">
      <c r="A478" s="2961">
        <v>476</v>
      </c>
      <c r="B478" s="2961" t="s">
        <v>3548</v>
      </c>
      <c r="D478" s="2961">
        <v>1104</v>
      </c>
      <c r="E478" s="2961" t="s">
        <v>3586</v>
      </c>
      <c r="F478" s="2961">
        <v>95.89</v>
      </c>
    </row>
    <row r="479" spans="1:6">
      <c r="A479" s="2961">
        <v>477</v>
      </c>
      <c r="B479" s="2961" t="s">
        <v>3548</v>
      </c>
      <c r="D479" s="2961">
        <v>1201</v>
      </c>
      <c r="E479" s="2961" t="s">
        <v>3587</v>
      </c>
      <c r="F479" s="2961">
        <v>90.93</v>
      </c>
    </row>
    <row r="480" spans="1:6">
      <c r="A480" s="2961">
        <v>478</v>
      </c>
      <c r="B480" s="2961" t="s">
        <v>3548</v>
      </c>
      <c r="D480" s="2961">
        <v>1202</v>
      </c>
      <c r="E480" s="2961" t="s">
        <v>3588</v>
      </c>
      <c r="F480" s="2961">
        <v>109.28</v>
      </c>
    </row>
    <row r="481" spans="1:6">
      <c r="A481" s="2961">
        <v>479</v>
      </c>
      <c r="B481" s="2961" t="s">
        <v>3548</v>
      </c>
      <c r="D481" s="2961">
        <v>1203</v>
      </c>
      <c r="E481" s="2961" t="s">
        <v>3589</v>
      </c>
      <c r="F481" s="2961">
        <v>86.82</v>
      </c>
    </row>
    <row r="482" spans="1:6">
      <c r="A482" s="2961">
        <v>480</v>
      </c>
      <c r="B482" s="2961" t="s">
        <v>3548</v>
      </c>
      <c r="D482" s="2961">
        <v>1204</v>
      </c>
      <c r="E482" s="2961" t="s">
        <v>3590</v>
      </c>
      <c r="F482" s="2961">
        <v>95.89</v>
      </c>
    </row>
    <row r="483" spans="1:6">
      <c r="A483" s="2961">
        <v>481</v>
      </c>
      <c r="B483" s="2961" t="s">
        <v>3548</v>
      </c>
      <c r="D483" s="2961">
        <v>1301</v>
      </c>
      <c r="E483" s="2961" t="s">
        <v>3591</v>
      </c>
      <c r="F483" s="2961">
        <v>90.93</v>
      </c>
    </row>
    <row r="484" spans="1:6">
      <c r="A484" s="2961">
        <v>482</v>
      </c>
      <c r="B484" s="2961" t="s">
        <v>3548</v>
      </c>
      <c r="D484" s="2961">
        <v>1302</v>
      </c>
      <c r="E484" s="2961" t="s">
        <v>3592</v>
      </c>
      <c r="F484" s="2961">
        <v>109.28</v>
      </c>
    </row>
    <row r="485" spans="1:6">
      <c r="A485" s="2961">
        <v>483</v>
      </c>
      <c r="B485" s="2961" t="s">
        <v>3548</v>
      </c>
      <c r="D485" s="2961">
        <v>1303</v>
      </c>
      <c r="E485" s="2961" t="s">
        <v>3593</v>
      </c>
      <c r="F485" s="2961">
        <v>86.82</v>
      </c>
    </row>
    <row r="486" spans="1:6">
      <c r="A486" s="2961">
        <v>484</v>
      </c>
      <c r="B486" s="2961" t="s">
        <v>3548</v>
      </c>
      <c r="D486" s="2961">
        <v>1304</v>
      </c>
      <c r="E486" s="2961" t="s">
        <v>3594</v>
      </c>
      <c r="F486" s="2961">
        <v>95.89</v>
      </c>
    </row>
    <row r="487" spans="1:6">
      <c r="A487" s="2961">
        <v>485</v>
      </c>
      <c r="B487" s="2961" t="s">
        <v>3548</v>
      </c>
      <c r="D487" s="2961">
        <v>1401</v>
      </c>
      <c r="E487" s="2961" t="s">
        <v>3595</v>
      </c>
      <c r="F487" s="2961">
        <v>90.93</v>
      </c>
    </row>
    <row r="488" spans="1:6">
      <c r="A488" s="2961">
        <v>486</v>
      </c>
      <c r="B488" s="2961" t="s">
        <v>3548</v>
      </c>
      <c r="D488" s="2961">
        <v>1402</v>
      </c>
      <c r="E488" s="2961" t="s">
        <v>3596</v>
      </c>
      <c r="F488" s="2961">
        <v>109.28</v>
      </c>
    </row>
    <row r="489" spans="1:6">
      <c r="A489" s="2961">
        <v>487</v>
      </c>
      <c r="B489" s="2961" t="s">
        <v>3548</v>
      </c>
      <c r="D489" s="2961">
        <v>1403</v>
      </c>
      <c r="E489" s="2961" t="s">
        <v>3597</v>
      </c>
      <c r="F489" s="2961">
        <v>86.82</v>
      </c>
    </row>
    <row r="490" spans="1:6">
      <c r="A490" s="2961">
        <v>488</v>
      </c>
      <c r="B490" s="2961" t="s">
        <v>3548</v>
      </c>
      <c r="D490" s="2961">
        <v>1404</v>
      </c>
      <c r="E490" s="2961" t="s">
        <v>3598</v>
      </c>
      <c r="F490" s="2961">
        <v>95.89</v>
      </c>
    </row>
    <row r="491" spans="1:6">
      <c r="A491" s="2961">
        <v>489</v>
      </c>
      <c r="B491" s="2961" t="s">
        <v>3548</v>
      </c>
      <c r="D491" s="2961">
        <v>1501</v>
      </c>
      <c r="E491" s="2961" t="s">
        <v>3599</v>
      </c>
      <c r="F491" s="2961">
        <v>90.93</v>
      </c>
    </row>
    <row r="492" spans="1:6">
      <c r="A492" s="2961">
        <v>490</v>
      </c>
      <c r="B492" s="2961" t="s">
        <v>3548</v>
      </c>
      <c r="D492" s="2961">
        <v>1502</v>
      </c>
      <c r="E492" s="2961" t="s">
        <v>3600</v>
      </c>
      <c r="F492" s="2961">
        <v>109.28</v>
      </c>
    </row>
    <row r="493" spans="1:6">
      <c r="A493" s="2961">
        <v>491</v>
      </c>
      <c r="B493" s="2961" t="s">
        <v>3548</v>
      </c>
      <c r="D493" s="2961">
        <v>1503</v>
      </c>
      <c r="E493" s="2961" t="s">
        <v>3601</v>
      </c>
      <c r="F493" s="2961">
        <v>86.82</v>
      </c>
    </row>
    <row r="494" spans="1:6">
      <c r="A494" s="2961">
        <v>492</v>
      </c>
      <c r="B494" s="2961" t="s">
        <v>3548</v>
      </c>
      <c r="D494" s="2961">
        <v>1504</v>
      </c>
      <c r="E494" s="2961" t="s">
        <v>3602</v>
      </c>
      <c r="F494" s="2961">
        <v>95.89</v>
      </c>
    </row>
    <row r="495" spans="1:6">
      <c r="A495" s="2961">
        <v>493</v>
      </c>
      <c r="B495" s="2961" t="s">
        <v>3548</v>
      </c>
      <c r="D495" s="2961">
        <v>1601</v>
      </c>
      <c r="E495" s="2961" t="s">
        <v>3603</v>
      </c>
      <c r="F495" s="2961">
        <v>90.93</v>
      </c>
    </row>
    <row r="496" spans="1:6">
      <c r="A496" s="2961">
        <v>494</v>
      </c>
      <c r="B496" s="2961" t="s">
        <v>3548</v>
      </c>
      <c r="D496" s="2961">
        <v>1602</v>
      </c>
      <c r="E496" s="2961" t="s">
        <v>3604</v>
      </c>
      <c r="F496" s="2961">
        <v>109.28</v>
      </c>
    </row>
    <row r="497" spans="1:6">
      <c r="A497" s="2961">
        <v>495</v>
      </c>
      <c r="B497" s="2961" t="s">
        <v>3548</v>
      </c>
      <c r="D497" s="2961">
        <v>1603</v>
      </c>
      <c r="E497" s="2961" t="s">
        <v>3605</v>
      </c>
      <c r="F497" s="2961">
        <v>86.82</v>
      </c>
    </row>
    <row r="498" spans="1:6">
      <c r="A498" s="2961">
        <v>496</v>
      </c>
      <c r="B498" s="2961" t="s">
        <v>3548</v>
      </c>
      <c r="D498" s="2961">
        <v>1604</v>
      </c>
      <c r="E498" s="2961" t="s">
        <v>3606</v>
      </c>
      <c r="F498" s="2961">
        <v>95.89</v>
      </c>
    </row>
    <row r="499" spans="1:6">
      <c r="A499" s="2961">
        <v>497</v>
      </c>
      <c r="B499" s="2961" t="s">
        <v>3548</v>
      </c>
      <c r="D499" s="2961">
        <v>1701</v>
      </c>
      <c r="E499" s="2961" t="s">
        <v>3607</v>
      </c>
      <c r="F499" s="2961">
        <v>90.93</v>
      </c>
    </row>
    <row r="500" spans="1:6">
      <c r="A500" s="2961">
        <v>498</v>
      </c>
      <c r="B500" s="2961" t="s">
        <v>3548</v>
      </c>
      <c r="D500" s="2961">
        <v>1702</v>
      </c>
      <c r="E500" s="2961" t="s">
        <v>3608</v>
      </c>
      <c r="F500" s="2961">
        <v>109.28</v>
      </c>
    </row>
    <row r="501" spans="1:6">
      <c r="A501" s="2961">
        <v>499</v>
      </c>
      <c r="B501" s="2961" t="s">
        <v>3548</v>
      </c>
      <c r="D501" s="2961">
        <v>1703</v>
      </c>
      <c r="E501" s="2961" t="s">
        <v>3609</v>
      </c>
      <c r="F501" s="2961">
        <v>86.82</v>
      </c>
    </row>
    <row r="502" spans="1:6">
      <c r="A502" s="2961">
        <v>500</v>
      </c>
      <c r="B502" s="2961" t="s">
        <v>3548</v>
      </c>
      <c r="D502" s="2961">
        <v>1704</v>
      </c>
      <c r="E502" s="2961" t="s">
        <v>3610</v>
      </c>
      <c r="F502" s="2961">
        <v>95.89</v>
      </c>
    </row>
    <row r="503" spans="1:6">
      <c r="A503" s="2961">
        <v>501</v>
      </c>
      <c r="B503" s="2961" t="s">
        <v>3548</v>
      </c>
      <c r="D503" s="2961">
        <v>1801</v>
      </c>
      <c r="E503" s="2961" t="s">
        <v>3611</v>
      </c>
      <c r="F503" s="2961">
        <v>90.93</v>
      </c>
    </row>
    <row r="504" spans="1:6">
      <c r="A504" s="2961">
        <v>502</v>
      </c>
      <c r="B504" s="2961" t="s">
        <v>3548</v>
      </c>
      <c r="D504" s="2961">
        <v>1802</v>
      </c>
      <c r="E504" s="2961" t="s">
        <v>3612</v>
      </c>
      <c r="F504" s="2961">
        <v>109.28</v>
      </c>
    </row>
    <row r="505" spans="1:6">
      <c r="A505" s="2961">
        <v>503</v>
      </c>
      <c r="B505" s="2961" t="s">
        <v>3548</v>
      </c>
      <c r="D505" s="2961">
        <v>1803</v>
      </c>
      <c r="E505" s="2961" t="s">
        <v>3613</v>
      </c>
      <c r="F505" s="2961">
        <v>86.82</v>
      </c>
    </row>
    <row r="506" spans="1:6">
      <c r="A506" s="2961">
        <v>504</v>
      </c>
      <c r="B506" s="2961" t="s">
        <v>3548</v>
      </c>
      <c r="D506" s="2961">
        <v>1804</v>
      </c>
      <c r="E506" s="2961" t="s">
        <v>3614</v>
      </c>
      <c r="F506" s="2961">
        <v>95.89</v>
      </c>
    </row>
    <row r="507" spans="1:6">
      <c r="A507" s="2961">
        <v>505</v>
      </c>
      <c r="B507" s="2961" t="s">
        <v>3548</v>
      </c>
      <c r="D507" s="2961">
        <v>1901</v>
      </c>
      <c r="E507" s="2961" t="s">
        <v>3615</v>
      </c>
      <c r="F507" s="2961">
        <v>90.93</v>
      </c>
    </row>
    <row r="508" spans="1:6">
      <c r="A508" s="2961">
        <v>506</v>
      </c>
      <c r="B508" s="2961" t="s">
        <v>3548</v>
      </c>
      <c r="D508" s="2961">
        <v>1902</v>
      </c>
      <c r="E508" s="2961" t="s">
        <v>3616</v>
      </c>
      <c r="F508" s="2961">
        <v>109.28</v>
      </c>
    </row>
    <row r="509" spans="1:6">
      <c r="A509" s="2961">
        <v>507</v>
      </c>
      <c r="B509" s="2961" t="s">
        <v>3548</v>
      </c>
      <c r="D509" s="2961">
        <v>1903</v>
      </c>
      <c r="E509" s="2961" t="s">
        <v>3617</v>
      </c>
      <c r="F509" s="2961">
        <v>86.82</v>
      </c>
    </row>
    <row r="510" spans="1:6">
      <c r="A510" s="2961">
        <v>508</v>
      </c>
      <c r="B510" s="2961" t="s">
        <v>3548</v>
      </c>
      <c r="D510" s="2961">
        <v>1904</v>
      </c>
      <c r="E510" s="2961" t="s">
        <v>3618</v>
      </c>
      <c r="F510" s="2961">
        <v>95.89</v>
      </c>
    </row>
    <row r="511" spans="1:6">
      <c r="A511" s="2961">
        <v>509</v>
      </c>
      <c r="B511" s="2961" t="s">
        <v>3548</v>
      </c>
      <c r="D511" s="2961">
        <v>2001</v>
      </c>
      <c r="E511" s="2961" t="s">
        <v>3619</v>
      </c>
      <c r="F511" s="2961">
        <v>90.93</v>
      </c>
    </row>
    <row r="512" spans="1:6">
      <c r="A512" s="2961">
        <v>510</v>
      </c>
      <c r="B512" s="2961" t="s">
        <v>3548</v>
      </c>
      <c r="D512" s="2961">
        <v>2002</v>
      </c>
      <c r="E512" s="2961" t="s">
        <v>3620</v>
      </c>
      <c r="F512" s="2961">
        <v>109.28</v>
      </c>
    </row>
    <row r="513" spans="1:6">
      <c r="A513" s="2961">
        <v>511</v>
      </c>
      <c r="B513" s="2961" t="s">
        <v>3548</v>
      </c>
      <c r="D513" s="2961">
        <v>2003</v>
      </c>
      <c r="E513" s="2961" t="s">
        <v>3621</v>
      </c>
      <c r="F513" s="2961">
        <v>86.82</v>
      </c>
    </row>
    <row r="514" spans="1:6">
      <c r="A514" s="2961">
        <v>512</v>
      </c>
      <c r="B514" s="2961" t="s">
        <v>3548</v>
      </c>
      <c r="D514" s="2961">
        <v>2004</v>
      </c>
      <c r="E514" s="2961" t="s">
        <v>3622</v>
      </c>
      <c r="F514" s="2961">
        <v>95.89</v>
      </c>
    </row>
    <row r="515" spans="1:6">
      <c r="A515" s="2961">
        <v>513</v>
      </c>
      <c r="B515" s="2961" t="s">
        <v>3548</v>
      </c>
      <c r="D515" s="2961">
        <v>2101</v>
      </c>
      <c r="E515" s="2961" t="s">
        <v>3623</v>
      </c>
      <c r="F515" s="2961">
        <v>90.93</v>
      </c>
    </row>
    <row r="516" spans="1:6">
      <c r="A516" s="2961">
        <v>514</v>
      </c>
      <c r="B516" s="2961" t="s">
        <v>3548</v>
      </c>
      <c r="D516" s="2961">
        <v>2102</v>
      </c>
      <c r="E516" s="2961" t="s">
        <v>3624</v>
      </c>
      <c r="F516" s="2961">
        <v>109.28</v>
      </c>
    </row>
    <row r="517" spans="1:6">
      <c r="A517" s="2961">
        <v>515</v>
      </c>
      <c r="B517" s="2961" t="s">
        <v>3548</v>
      </c>
      <c r="D517" s="2961">
        <v>2103</v>
      </c>
      <c r="E517" s="2961" t="s">
        <v>3625</v>
      </c>
      <c r="F517" s="2961">
        <v>86.82</v>
      </c>
    </row>
    <row r="518" spans="1:6">
      <c r="A518" s="2961">
        <v>516</v>
      </c>
      <c r="B518" s="2961" t="s">
        <v>3548</v>
      </c>
      <c r="D518" s="2961">
        <v>2104</v>
      </c>
      <c r="E518" s="2961" t="s">
        <v>3626</v>
      </c>
      <c r="F518" s="2961">
        <v>95.89</v>
      </c>
    </row>
    <row r="519" spans="1:6">
      <c r="A519" s="2961">
        <v>517</v>
      </c>
      <c r="B519" s="2961" t="s">
        <v>3548</v>
      </c>
      <c r="D519" s="2961">
        <v>2201</v>
      </c>
      <c r="E519" s="2961" t="s">
        <v>3627</v>
      </c>
      <c r="F519" s="2961">
        <v>90.93</v>
      </c>
    </row>
    <row r="520" spans="1:6">
      <c r="A520" s="2961">
        <v>518</v>
      </c>
      <c r="B520" s="2961" t="s">
        <v>3548</v>
      </c>
      <c r="D520" s="2961">
        <v>2202</v>
      </c>
      <c r="E520" s="2961" t="s">
        <v>3628</v>
      </c>
      <c r="F520" s="2961">
        <v>109.28</v>
      </c>
    </row>
    <row r="521" spans="1:6">
      <c r="A521" s="2961">
        <v>519</v>
      </c>
      <c r="B521" s="2961" t="s">
        <v>3548</v>
      </c>
      <c r="D521" s="2961">
        <v>2203</v>
      </c>
      <c r="E521" s="2961" t="s">
        <v>3629</v>
      </c>
      <c r="F521" s="2961">
        <v>86.82</v>
      </c>
    </row>
    <row r="522" spans="1:6">
      <c r="A522" s="2961">
        <v>520</v>
      </c>
      <c r="B522" s="2961" t="s">
        <v>3548</v>
      </c>
      <c r="D522" s="2961">
        <v>2204</v>
      </c>
      <c r="E522" s="2961" t="s">
        <v>3630</v>
      </c>
      <c r="F522" s="2961">
        <v>95.89</v>
      </c>
    </row>
    <row r="523" spans="1:6">
      <c r="A523" s="2961">
        <v>521</v>
      </c>
      <c r="B523" s="2961" t="s">
        <v>3548</v>
      </c>
      <c r="D523" s="2961">
        <v>2301</v>
      </c>
      <c r="E523" s="2961" t="s">
        <v>3631</v>
      </c>
      <c r="F523" s="2961">
        <v>90.93</v>
      </c>
    </row>
    <row r="524" spans="1:6">
      <c r="A524" s="2961">
        <v>522</v>
      </c>
      <c r="B524" s="2961" t="s">
        <v>3548</v>
      </c>
      <c r="D524" s="2961">
        <v>2302</v>
      </c>
      <c r="E524" s="2961" t="s">
        <v>3632</v>
      </c>
      <c r="F524" s="2961">
        <v>109.28</v>
      </c>
    </row>
    <row r="525" spans="1:6">
      <c r="A525" s="2961">
        <v>523</v>
      </c>
      <c r="B525" s="2961" t="s">
        <v>3548</v>
      </c>
      <c r="D525" s="2961">
        <v>2303</v>
      </c>
      <c r="E525" s="2961" t="s">
        <v>3633</v>
      </c>
      <c r="F525" s="2961">
        <v>86.82</v>
      </c>
    </row>
    <row r="526" spans="1:6">
      <c r="A526" s="2961">
        <v>524</v>
      </c>
      <c r="B526" s="2961" t="s">
        <v>3548</v>
      </c>
      <c r="D526" s="2961">
        <v>2304</v>
      </c>
      <c r="E526" s="2961" t="s">
        <v>3634</v>
      </c>
      <c r="F526" s="2961">
        <v>95.89</v>
      </c>
    </row>
    <row r="527" spans="1:6">
      <c r="A527" s="2961">
        <v>525</v>
      </c>
      <c r="B527" s="2961" t="s">
        <v>3635</v>
      </c>
      <c r="D527" s="2961">
        <v>103</v>
      </c>
      <c r="E527" s="2961" t="s">
        <v>3636</v>
      </c>
      <c r="F527" s="2961">
        <v>96.46</v>
      </c>
    </row>
    <row r="528" spans="1:6">
      <c r="A528" s="2961">
        <v>526</v>
      </c>
      <c r="B528" s="2961" t="s">
        <v>3635</v>
      </c>
      <c r="D528" s="2961">
        <v>104</v>
      </c>
      <c r="E528" s="2961" t="s">
        <v>3637</v>
      </c>
      <c r="F528" s="2961">
        <v>85.07</v>
      </c>
    </row>
    <row r="529" spans="1:6">
      <c r="A529" s="2961">
        <v>527</v>
      </c>
      <c r="B529" s="2961" t="s">
        <v>3635</v>
      </c>
      <c r="D529" s="2961">
        <v>201</v>
      </c>
      <c r="E529" s="2961" t="s">
        <v>3638</v>
      </c>
      <c r="F529" s="2961">
        <v>95.69</v>
      </c>
    </row>
    <row r="530" spans="1:6">
      <c r="A530" s="2961">
        <v>528</v>
      </c>
      <c r="B530" s="2961" t="s">
        <v>3635</v>
      </c>
      <c r="D530" s="2961">
        <v>202</v>
      </c>
      <c r="E530" s="2961" t="s">
        <v>3639</v>
      </c>
      <c r="F530" s="2961">
        <v>83.98</v>
      </c>
    </row>
    <row r="531" spans="1:6">
      <c r="A531" s="2961">
        <v>529</v>
      </c>
      <c r="B531" s="2961" t="s">
        <v>3635</v>
      </c>
      <c r="D531" s="2961">
        <v>203</v>
      </c>
      <c r="E531" s="2961" t="s">
        <v>3640</v>
      </c>
      <c r="F531" s="2961">
        <v>97.72</v>
      </c>
    </row>
    <row r="532" spans="1:6">
      <c r="A532" s="2961">
        <v>530</v>
      </c>
      <c r="B532" s="2961" t="s">
        <v>3635</v>
      </c>
      <c r="D532" s="2961">
        <v>204</v>
      </c>
      <c r="E532" s="2961" t="s">
        <v>3641</v>
      </c>
      <c r="F532" s="2961">
        <v>85.38</v>
      </c>
    </row>
    <row r="533" spans="1:6">
      <c r="A533" s="2961">
        <v>531</v>
      </c>
      <c r="B533" s="2961" t="s">
        <v>3635</v>
      </c>
      <c r="D533" s="2961">
        <v>205</v>
      </c>
      <c r="E533" s="2961" t="s">
        <v>3642</v>
      </c>
      <c r="F533" s="2961">
        <v>102.39</v>
      </c>
    </row>
    <row r="534" spans="1:6">
      <c r="A534" s="2961">
        <v>532</v>
      </c>
      <c r="B534" s="2961" t="s">
        <v>3635</v>
      </c>
      <c r="D534" s="2961">
        <v>301</v>
      </c>
      <c r="E534" s="2961" t="s">
        <v>3643</v>
      </c>
      <c r="F534" s="2961">
        <v>95.69</v>
      </c>
    </row>
    <row r="535" spans="1:6">
      <c r="A535" s="2961">
        <v>533</v>
      </c>
      <c r="B535" s="2961" t="s">
        <v>3635</v>
      </c>
      <c r="D535" s="2961">
        <v>302</v>
      </c>
      <c r="E535" s="2961" t="s">
        <v>3644</v>
      </c>
      <c r="F535" s="2961">
        <v>83.98</v>
      </c>
    </row>
    <row r="536" spans="1:6">
      <c r="A536" s="2961">
        <v>534</v>
      </c>
      <c r="B536" s="2961" t="s">
        <v>3635</v>
      </c>
      <c r="D536" s="2961">
        <v>303</v>
      </c>
      <c r="E536" s="2961" t="s">
        <v>3645</v>
      </c>
      <c r="F536" s="2961">
        <v>97.72</v>
      </c>
    </row>
    <row r="537" spans="1:6">
      <c r="A537" s="2961">
        <v>535</v>
      </c>
      <c r="B537" s="2961" t="s">
        <v>3635</v>
      </c>
      <c r="D537" s="2961">
        <v>304</v>
      </c>
      <c r="E537" s="2961" t="s">
        <v>3646</v>
      </c>
      <c r="F537" s="2961">
        <v>85.38</v>
      </c>
    </row>
    <row r="538" spans="1:6">
      <c r="A538" s="2961">
        <v>536</v>
      </c>
      <c r="B538" s="2961" t="s">
        <v>3635</v>
      </c>
      <c r="D538" s="2961">
        <v>305</v>
      </c>
      <c r="E538" s="2961" t="s">
        <v>3647</v>
      </c>
      <c r="F538" s="2961">
        <v>102.39</v>
      </c>
    </row>
    <row r="539" spans="1:6">
      <c r="A539" s="2961">
        <v>537</v>
      </c>
      <c r="B539" s="2961" t="s">
        <v>3635</v>
      </c>
      <c r="D539" s="2961">
        <v>401</v>
      </c>
      <c r="E539" s="2961" t="s">
        <v>3648</v>
      </c>
      <c r="F539" s="2961">
        <v>95.69</v>
      </c>
    </row>
    <row r="540" spans="1:6">
      <c r="A540" s="2961">
        <v>538</v>
      </c>
      <c r="B540" s="2961" t="s">
        <v>3635</v>
      </c>
      <c r="D540" s="2961">
        <v>403</v>
      </c>
      <c r="E540" s="2961" t="s">
        <v>3649</v>
      </c>
      <c r="F540" s="2961">
        <v>97.72</v>
      </c>
    </row>
    <row r="541" spans="1:6">
      <c r="A541" s="2961">
        <v>539</v>
      </c>
      <c r="B541" s="2961" t="s">
        <v>3635</v>
      </c>
      <c r="D541" s="2961">
        <v>404</v>
      </c>
      <c r="E541" s="2961" t="s">
        <v>3650</v>
      </c>
      <c r="F541" s="2961">
        <v>85.38</v>
      </c>
    </row>
    <row r="542" spans="1:6">
      <c r="A542" s="2961">
        <v>540</v>
      </c>
      <c r="B542" s="2961" t="s">
        <v>3635</v>
      </c>
      <c r="D542" s="2961">
        <v>405</v>
      </c>
      <c r="E542" s="2961" t="s">
        <v>3651</v>
      </c>
      <c r="F542" s="2961">
        <v>102.39</v>
      </c>
    </row>
    <row r="543" spans="1:6">
      <c r="A543" s="2961">
        <v>541</v>
      </c>
      <c r="B543" s="2961" t="s">
        <v>3635</v>
      </c>
      <c r="D543" s="2961">
        <v>501</v>
      </c>
      <c r="E543" s="2961" t="s">
        <v>3652</v>
      </c>
      <c r="F543" s="2961">
        <v>95.69</v>
      </c>
    </row>
    <row r="544" spans="1:6">
      <c r="A544" s="2961">
        <v>542</v>
      </c>
      <c r="B544" s="2961" t="s">
        <v>3635</v>
      </c>
      <c r="D544" s="2961">
        <v>502</v>
      </c>
      <c r="E544" s="2961" t="s">
        <v>3653</v>
      </c>
      <c r="F544" s="2961">
        <v>83.98</v>
      </c>
    </row>
    <row r="545" spans="1:6">
      <c r="A545" s="2961">
        <v>543</v>
      </c>
      <c r="B545" s="2961" t="s">
        <v>3635</v>
      </c>
      <c r="D545" s="2961">
        <v>503</v>
      </c>
      <c r="E545" s="2961" t="s">
        <v>3654</v>
      </c>
      <c r="F545" s="2961">
        <v>97.72</v>
      </c>
    </row>
    <row r="546" spans="1:6">
      <c r="A546" s="2961">
        <v>544</v>
      </c>
      <c r="B546" s="2961" t="s">
        <v>3635</v>
      </c>
      <c r="D546" s="2961">
        <v>504</v>
      </c>
      <c r="E546" s="2961" t="s">
        <v>3655</v>
      </c>
      <c r="F546" s="2961">
        <v>85.38</v>
      </c>
    </row>
    <row r="547" spans="1:6">
      <c r="A547" s="2961">
        <v>545</v>
      </c>
      <c r="B547" s="2961" t="s">
        <v>3635</v>
      </c>
      <c r="D547" s="2961">
        <v>601</v>
      </c>
      <c r="E547" s="2961" t="s">
        <v>3656</v>
      </c>
      <c r="F547" s="2961">
        <v>95.69</v>
      </c>
    </row>
    <row r="548" spans="1:6">
      <c r="A548" s="2961">
        <v>546</v>
      </c>
      <c r="B548" s="2961" t="s">
        <v>3635</v>
      </c>
      <c r="D548" s="2961">
        <v>602</v>
      </c>
      <c r="E548" s="2961" t="s">
        <v>3657</v>
      </c>
      <c r="F548" s="2961">
        <v>83.98</v>
      </c>
    </row>
    <row r="549" spans="1:6">
      <c r="A549" s="2961">
        <v>547</v>
      </c>
      <c r="B549" s="2961" t="s">
        <v>3635</v>
      </c>
      <c r="D549" s="2961">
        <v>603</v>
      </c>
      <c r="E549" s="2961" t="s">
        <v>3658</v>
      </c>
      <c r="F549" s="2961">
        <v>97.72</v>
      </c>
    </row>
    <row r="550" spans="1:6">
      <c r="A550" s="2961">
        <v>548</v>
      </c>
      <c r="B550" s="2961" t="s">
        <v>3635</v>
      </c>
      <c r="D550" s="2961">
        <v>701</v>
      </c>
      <c r="E550" s="2961" t="s">
        <v>3659</v>
      </c>
      <c r="F550" s="2961">
        <v>95.69</v>
      </c>
    </row>
    <row r="551" spans="1:6">
      <c r="A551" s="2961">
        <v>549</v>
      </c>
      <c r="B551" s="2961" t="s">
        <v>3635</v>
      </c>
      <c r="D551" s="2961">
        <v>702</v>
      </c>
      <c r="E551" s="2961" t="s">
        <v>3660</v>
      </c>
      <c r="F551" s="2961">
        <v>83.98</v>
      </c>
    </row>
    <row r="552" spans="1:6">
      <c r="A552" s="2961">
        <v>550</v>
      </c>
      <c r="B552" s="2961" t="s">
        <v>3635</v>
      </c>
      <c r="D552" s="2961">
        <v>703</v>
      </c>
      <c r="E552" s="2961" t="s">
        <v>3661</v>
      </c>
      <c r="F552" s="2961">
        <v>97.72</v>
      </c>
    </row>
    <row r="553" spans="1:6">
      <c r="A553" s="2961">
        <v>551</v>
      </c>
      <c r="B553" s="2961" t="s">
        <v>3635</v>
      </c>
      <c r="D553" s="2961">
        <v>704</v>
      </c>
      <c r="E553" s="2961" t="s">
        <v>3662</v>
      </c>
      <c r="F553" s="2961">
        <v>85.38</v>
      </c>
    </row>
    <row r="554" spans="1:6">
      <c r="A554" s="2961">
        <v>552</v>
      </c>
      <c r="B554" s="2961" t="s">
        <v>3635</v>
      </c>
      <c r="D554" s="2961">
        <v>705</v>
      </c>
      <c r="E554" s="2961" t="s">
        <v>3663</v>
      </c>
      <c r="F554" s="2961">
        <v>102.39</v>
      </c>
    </row>
    <row r="555" spans="1:6">
      <c r="A555" s="2961">
        <v>553</v>
      </c>
      <c r="B555" s="2961" t="s">
        <v>3635</v>
      </c>
      <c r="D555" s="2961">
        <v>801</v>
      </c>
      <c r="E555" s="2961" t="s">
        <v>3664</v>
      </c>
      <c r="F555" s="2961">
        <v>95.69</v>
      </c>
    </row>
    <row r="556" spans="1:6">
      <c r="A556" s="2961">
        <v>554</v>
      </c>
      <c r="B556" s="2961" t="s">
        <v>3635</v>
      </c>
      <c r="D556" s="2961">
        <v>802</v>
      </c>
      <c r="E556" s="2961" t="s">
        <v>3665</v>
      </c>
      <c r="F556" s="2961">
        <v>83.98</v>
      </c>
    </row>
    <row r="557" spans="1:6">
      <c r="A557" s="2961">
        <v>555</v>
      </c>
      <c r="B557" s="2961" t="s">
        <v>3635</v>
      </c>
      <c r="D557" s="2961">
        <v>803</v>
      </c>
      <c r="E557" s="2961" t="s">
        <v>3666</v>
      </c>
      <c r="F557" s="2961">
        <v>97.72</v>
      </c>
    </row>
    <row r="558" spans="1:6">
      <c r="A558" s="2961">
        <v>556</v>
      </c>
      <c r="B558" s="2961" t="s">
        <v>3635</v>
      </c>
      <c r="D558" s="2961">
        <v>805</v>
      </c>
      <c r="E558" s="2961" t="s">
        <v>3667</v>
      </c>
      <c r="F558" s="2961">
        <v>102.39</v>
      </c>
    </row>
    <row r="559" spans="1:6">
      <c r="A559" s="2961">
        <v>557</v>
      </c>
      <c r="B559" s="2961" t="s">
        <v>3635</v>
      </c>
      <c r="D559" s="2961">
        <v>902</v>
      </c>
      <c r="E559" s="2961" t="s">
        <v>3668</v>
      </c>
      <c r="F559" s="2961">
        <v>83.98</v>
      </c>
    </row>
    <row r="560" spans="1:6">
      <c r="A560" s="2961">
        <v>558</v>
      </c>
      <c r="B560" s="2961" t="s">
        <v>3635</v>
      </c>
      <c r="D560" s="2961">
        <v>903</v>
      </c>
      <c r="E560" s="2961" t="s">
        <v>3669</v>
      </c>
      <c r="F560" s="2961">
        <v>97.72</v>
      </c>
    </row>
    <row r="561" spans="1:6">
      <c r="A561" s="2961">
        <v>559</v>
      </c>
      <c r="B561" s="2961" t="s">
        <v>3635</v>
      </c>
      <c r="D561" s="2961">
        <v>1001</v>
      </c>
      <c r="E561" s="2961" t="s">
        <v>3670</v>
      </c>
      <c r="F561" s="2961">
        <v>95.69</v>
      </c>
    </row>
    <row r="562" spans="1:6">
      <c r="A562" s="2961">
        <v>560</v>
      </c>
      <c r="B562" s="2961" t="s">
        <v>3635</v>
      </c>
      <c r="D562" s="2961">
        <v>1002</v>
      </c>
      <c r="E562" s="2961" t="s">
        <v>3671</v>
      </c>
      <c r="F562" s="2961">
        <v>83.98</v>
      </c>
    </row>
    <row r="563" spans="1:6">
      <c r="A563" s="2961">
        <v>561</v>
      </c>
      <c r="B563" s="2961" t="s">
        <v>3635</v>
      </c>
      <c r="D563" s="2961">
        <v>1003</v>
      </c>
      <c r="E563" s="2961" t="s">
        <v>3672</v>
      </c>
      <c r="F563" s="2961">
        <v>97.72</v>
      </c>
    </row>
    <row r="564" spans="1:6">
      <c r="A564" s="2961">
        <v>562</v>
      </c>
      <c r="B564" s="2961" t="s">
        <v>3635</v>
      </c>
      <c r="D564" s="2961">
        <v>1004</v>
      </c>
      <c r="E564" s="2961" t="s">
        <v>3673</v>
      </c>
      <c r="F564" s="2961">
        <v>85.38</v>
      </c>
    </row>
    <row r="565" spans="1:6">
      <c r="A565" s="2961">
        <v>563</v>
      </c>
      <c r="B565" s="2961" t="s">
        <v>3635</v>
      </c>
      <c r="D565" s="2961">
        <v>1005</v>
      </c>
      <c r="E565" s="2961" t="s">
        <v>3674</v>
      </c>
      <c r="F565" s="2961">
        <v>102.39</v>
      </c>
    </row>
    <row r="566" spans="1:6">
      <c r="A566" s="2961">
        <v>564</v>
      </c>
      <c r="B566" s="2961" t="s">
        <v>3635</v>
      </c>
      <c r="D566" s="2961">
        <v>1101</v>
      </c>
      <c r="E566" s="2961" t="s">
        <v>3675</v>
      </c>
      <c r="F566" s="2961">
        <v>95.69</v>
      </c>
    </row>
    <row r="567" spans="1:6">
      <c r="A567" s="2961">
        <v>565</v>
      </c>
      <c r="B567" s="2961" t="s">
        <v>3635</v>
      </c>
      <c r="D567" s="2961">
        <v>1102</v>
      </c>
      <c r="E567" s="2961" t="s">
        <v>3676</v>
      </c>
      <c r="F567" s="2961">
        <v>83.98</v>
      </c>
    </row>
    <row r="568" spans="1:6">
      <c r="A568" s="2961">
        <v>566</v>
      </c>
      <c r="B568" s="2961" t="s">
        <v>3635</v>
      </c>
      <c r="D568" s="2961">
        <v>1103</v>
      </c>
      <c r="E568" s="2961" t="s">
        <v>3677</v>
      </c>
      <c r="F568" s="2961">
        <v>97.72</v>
      </c>
    </row>
    <row r="569" spans="1:6">
      <c r="A569" s="2961">
        <v>567</v>
      </c>
      <c r="B569" s="2961" t="s">
        <v>3635</v>
      </c>
      <c r="D569" s="2961">
        <v>1104</v>
      </c>
      <c r="E569" s="2961" t="s">
        <v>3678</v>
      </c>
      <c r="F569" s="2961">
        <v>85.38</v>
      </c>
    </row>
    <row r="570" spans="1:6">
      <c r="A570" s="2961">
        <v>568</v>
      </c>
      <c r="B570" s="2961" t="s">
        <v>3635</v>
      </c>
      <c r="D570" s="2961">
        <v>1105</v>
      </c>
      <c r="E570" s="2961" t="s">
        <v>3679</v>
      </c>
      <c r="F570" s="2961">
        <v>102.39</v>
      </c>
    </row>
    <row r="571" spans="1:6">
      <c r="A571" s="2961">
        <v>569</v>
      </c>
      <c r="B571" s="2961" t="s">
        <v>3635</v>
      </c>
      <c r="D571" s="2961">
        <v>1202</v>
      </c>
      <c r="E571" s="2961" t="s">
        <v>3680</v>
      </c>
      <c r="F571" s="2961">
        <v>83.98</v>
      </c>
    </row>
    <row r="572" spans="1:6">
      <c r="A572" s="2961">
        <v>570</v>
      </c>
      <c r="B572" s="2961" t="s">
        <v>3635</v>
      </c>
      <c r="D572" s="2961">
        <v>1203</v>
      </c>
      <c r="E572" s="2961" t="s">
        <v>3681</v>
      </c>
      <c r="F572" s="2961">
        <v>97.72</v>
      </c>
    </row>
    <row r="573" spans="1:6">
      <c r="A573" s="2961">
        <v>571</v>
      </c>
      <c r="B573" s="2961" t="s">
        <v>3635</v>
      </c>
      <c r="D573" s="2961">
        <v>1205</v>
      </c>
      <c r="E573" s="2961" t="s">
        <v>3682</v>
      </c>
      <c r="F573" s="2961">
        <v>102.39</v>
      </c>
    </row>
    <row r="574" spans="1:6">
      <c r="A574" s="2961">
        <v>572</v>
      </c>
      <c r="B574" s="2961" t="s">
        <v>3635</v>
      </c>
      <c r="D574" s="2961">
        <v>1301</v>
      </c>
      <c r="E574" s="2961" t="s">
        <v>3683</v>
      </c>
      <c r="F574" s="2961">
        <v>95.69</v>
      </c>
    </row>
    <row r="575" spans="1:6">
      <c r="A575" s="2961">
        <v>573</v>
      </c>
      <c r="B575" s="2961" t="s">
        <v>3635</v>
      </c>
      <c r="D575" s="2961">
        <v>1302</v>
      </c>
      <c r="E575" s="2961" t="s">
        <v>3684</v>
      </c>
      <c r="F575" s="2961">
        <v>83.98</v>
      </c>
    </row>
    <row r="576" spans="1:6">
      <c r="A576" s="2961">
        <v>574</v>
      </c>
      <c r="B576" s="2961" t="s">
        <v>3635</v>
      </c>
      <c r="D576" s="2961">
        <v>1303</v>
      </c>
      <c r="E576" s="2961" t="s">
        <v>3685</v>
      </c>
      <c r="F576" s="2961">
        <v>97.72</v>
      </c>
    </row>
    <row r="577" spans="1:6">
      <c r="A577" s="2961">
        <v>575</v>
      </c>
      <c r="B577" s="2961" t="s">
        <v>3635</v>
      </c>
      <c r="D577" s="2961">
        <v>1305</v>
      </c>
      <c r="E577" s="2961" t="s">
        <v>3686</v>
      </c>
      <c r="F577" s="2961">
        <v>102.39</v>
      </c>
    </row>
    <row r="578" spans="1:6">
      <c r="A578" s="2961">
        <v>576</v>
      </c>
      <c r="B578" s="2961" t="s">
        <v>3635</v>
      </c>
      <c r="D578" s="2961">
        <v>1401</v>
      </c>
      <c r="E578" s="2961" t="s">
        <v>3687</v>
      </c>
      <c r="F578" s="2961">
        <v>95.69</v>
      </c>
    </row>
    <row r="579" spans="1:6">
      <c r="A579" s="2961">
        <v>577</v>
      </c>
      <c r="B579" s="2961" t="s">
        <v>3635</v>
      </c>
      <c r="D579" s="2961">
        <v>1402</v>
      </c>
      <c r="E579" s="2961" t="s">
        <v>3688</v>
      </c>
      <c r="F579" s="2961">
        <v>83.98</v>
      </c>
    </row>
    <row r="580" spans="1:6">
      <c r="A580" s="2961">
        <v>578</v>
      </c>
      <c r="B580" s="2961" t="s">
        <v>3635</v>
      </c>
      <c r="D580" s="2961">
        <v>1403</v>
      </c>
      <c r="E580" s="2961" t="s">
        <v>3689</v>
      </c>
      <c r="F580" s="2961">
        <v>97.72</v>
      </c>
    </row>
    <row r="581" spans="1:6">
      <c r="A581" s="2961">
        <v>579</v>
      </c>
      <c r="B581" s="2961" t="s">
        <v>3635</v>
      </c>
      <c r="D581" s="2961">
        <v>1404</v>
      </c>
      <c r="E581" s="2961" t="s">
        <v>3690</v>
      </c>
      <c r="F581" s="2961">
        <v>85.38</v>
      </c>
    </row>
    <row r="582" spans="1:6">
      <c r="A582" s="2961">
        <v>580</v>
      </c>
      <c r="B582" s="2961" t="s">
        <v>3635</v>
      </c>
      <c r="D582" s="2961">
        <v>1501</v>
      </c>
      <c r="E582" s="2961" t="s">
        <v>3691</v>
      </c>
      <c r="F582" s="2961">
        <v>95.69</v>
      </c>
    </row>
    <row r="583" spans="1:6">
      <c r="A583" s="2961">
        <v>581</v>
      </c>
      <c r="B583" s="2961" t="s">
        <v>3635</v>
      </c>
      <c r="D583" s="2961">
        <v>1502</v>
      </c>
      <c r="E583" s="2961" t="s">
        <v>3692</v>
      </c>
      <c r="F583" s="2961">
        <v>83.98</v>
      </c>
    </row>
    <row r="584" spans="1:6">
      <c r="A584" s="2961">
        <v>582</v>
      </c>
      <c r="B584" s="2961" t="s">
        <v>3635</v>
      </c>
      <c r="D584" s="2961">
        <v>1503</v>
      </c>
      <c r="E584" s="2961" t="s">
        <v>3693</v>
      </c>
      <c r="F584" s="2961">
        <v>97.72</v>
      </c>
    </row>
    <row r="585" spans="1:6">
      <c r="A585" s="2961">
        <v>583</v>
      </c>
      <c r="B585" s="2961" t="s">
        <v>3635</v>
      </c>
      <c r="D585" s="2961">
        <v>1504</v>
      </c>
      <c r="E585" s="2961" t="s">
        <v>3694</v>
      </c>
      <c r="F585" s="2961">
        <v>85.38</v>
      </c>
    </row>
    <row r="586" spans="1:6">
      <c r="A586" s="2961">
        <v>584</v>
      </c>
      <c r="B586" s="2961" t="s">
        <v>3635</v>
      </c>
      <c r="D586" s="2961">
        <v>1505</v>
      </c>
      <c r="E586" s="2961" t="s">
        <v>3695</v>
      </c>
      <c r="F586" s="2961">
        <v>102.39</v>
      </c>
    </row>
    <row r="587" spans="1:6">
      <c r="A587" s="2961">
        <v>585</v>
      </c>
      <c r="B587" s="2961" t="s">
        <v>3635</v>
      </c>
      <c r="D587" s="2961">
        <v>1601</v>
      </c>
      <c r="E587" s="2961" t="s">
        <v>3696</v>
      </c>
      <c r="F587" s="2961">
        <v>95.69</v>
      </c>
    </row>
    <row r="588" spans="1:6">
      <c r="A588" s="2961">
        <v>586</v>
      </c>
      <c r="B588" s="2961" t="s">
        <v>3635</v>
      </c>
      <c r="D588" s="2961">
        <v>1602</v>
      </c>
      <c r="E588" s="2961" t="s">
        <v>3697</v>
      </c>
      <c r="F588" s="2961">
        <v>83.98</v>
      </c>
    </row>
    <row r="589" spans="1:6">
      <c r="A589" s="2961">
        <v>587</v>
      </c>
      <c r="B589" s="2961" t="s">
        <v>3635</v>
      </c>
      <c r="D589" s="2961">
        <v>1603</v>
      </c>
      <c r="E589" s="2961" t="s">
        <v>3698</v>
      </c>
      <c r="F589" s="2961">
        <v>97.72</v>
      </c>
    </row>
    <row r="590" spans="1:6">
      <c r="A590" s="2961">
        <v>588</v>
      </c>
      <c r="B590" s="2961" t="s">
        <v>3635</v>
      </c>
      <c r="D590" s="2961">
        <v>1604</v>
      </c>
      <c r="E590" s="2961" t="s">
        <v>3699</v>
      </c>
      <c r="F590" s="2961">
        <v>85.38</v>
      </c>
    </row>
    <row r="591" spans="1:6">
      <c r="A591" s="2961">
        <v>589</v>
      </c>
      <c r="B591" s="2961" t="s">
        <v>3635</v>
      </c>
      <c r="D591" s="2961">
        <v>1605</v>
      </c>
      <c r="E591" s="2961" t="s">
        <v>3700</v>
      </c>
      <c r="F591" s="2961">
        <v>102.39</v>
      </c>
    </row>
    <row r="592" spans="1:6">
      <c r="A592" s="2961">
        <v>590</v>
      </c>
      <c r="B592" s="2961" t="s">
        <v>3635</v>
      </c>
      <c r="D592" s="2961">
        <v>1701</v>
      </c>
      <c r="E592" s="2961" t="s">
        <v>3701</v>
      </c>
      <c r="F592" s="2961">
        <v>95.69</v>
      </c>
    </row>
    <row r="593" spans="1:6">
      <c r="A593" s="2961">
        <v>591</v>
      </c>
      <c r="B593" s="2961" t="s">
        <v>3635</v>
      </c>
      <c r="D593" s="2961">
        <v>1703</v>
      </c>
      <c r="E593" s="2961" t="s">
        <v>3702</v>
      </c>
      <c r="F593" s="2961">
        <v>97.72</v>
      </c>
    </row>
    <row r="594" spans="1:6">
      <c r="A594" s="2961">
        <v>592</v>
      </c>
      <c r="B594" s="2961" t="s">
        <v>3635</v>
      </c>
      <c r="D594" s="2961">
        <v>1704</v>
      </c>
      <c r="E594" s="2961" t="s">
        <v>3703</v>
      </c>
      <c r="F594" s="2961">
        <v>85.38</v>
      </c>
    </row>
    <row r="595" spans="1:6">
      <c r="A595" s="2961">
        <v>593</v>
      </c>
      <c r="B595" s="2961" t="s">
        <v>3635</v>
      </c>
      <c r="D595" s="2961">
        <v>1705</v>
      </c>
      <c r="E595" s="2961" t="s">
        <v>3704</v>
      </c>
      <c r="F595" s="2961">
        <v>102.39</v>
      </c>
    </row>
    <row r="596" spans="1:6">
      <c r="A596" s="2961">
        <v>594</v>
      </c>
      <c r="B596" s="2961" t="s">
        <v>3635</v>
      </c>
      <c r="D596" s="2961">
        <v>1801</v>
      </c>
      <c r="E596" s="2961" t="s">
        <v>3705</v>
      </c>
      <c r="F596" s="2961">
        <v>95.69</v>
      </c>
    </row>
    <row r="597" spans="1:6">
      <c r="A597" s="2961">
        <v>595</v>
      </c>
      <c r="B597" s="2961" t="s">
        <v>3635</v>
      </c>
      <c r="D597" s="2961">
        <v>1802</v>
      </c>
      <c r="E597" s="2961" t="s">
        <v>3706</v>
      </c>
      <c r="F597" s="2961">
        <v>83.98</v>
      </c>
    </row>
    <row r="598" spans="1:6">
      <c r="A598" s="2961">
        <v>596</v>
      </c>
      <c r="B598" s="2961" t="s">
        <v>3635</v>
      </c>
      <c r="D598" s="2961">
        <v>1803</v>
      </c>
      <c r="E598" s="2961" t="s">
        <v>3707</v>
      </c>
      <c r="F598" s="2961">
        <v>97.72</v>
      </c>
    </row>
    <row r="599" spans="1:6">
      <c r="A599" s="2961">
        <v>597</v>
      </c>
      <c r="B599" s="2961" t="s">
        <v>3635</v>
      </c>
      <c r="D599" s="2961">
        <v>1804</v>
      </c>
      <c r="E599" s="2961" t="s">
        <v>3708</v>
      </c>
      <c r="F599" s="2961">
        <v>85.38</v>
      </c>
    </row>
    <row r="600" spans="1:6">
      <c r="A600" s="2961">
        <v>598</v>
      </c>
      <c r="B600" s="2961" t="s">
        <v>3635</v>
      </c>
      <c r="D600" s="2961">
        <v>1805</v>
      </c>
      <c r="E600" s="2961" t="s">
        <v>3709</v>
      </c>
      <c r="F600" s="2961">
        <v>102.39</v>
      </c>
    </row>
    <row r="601" spans="1:6">
      <c r="A601" s="2961">
        <v>599</v>
      </c>
      <c r="B601" s="2961" t="s">
        <v>3635</v>
      </c>
      <c r="D601" s="2961">
        <v>1901</v>
      </c>
      <c r="E601" s="2961" t="s">
        <v>3710</v>
      </c>
      <c r="F601" s="2961">
        <v>95.69</v>
      </c>
    </row>
    <row r="602" spans="1:6">
      <c r="A602" s="2961">
        <v>600</v>
      </c>
      <c r="B602" s="2961" t="s">
        <v>3635</v>
      </c>
      <c r="D602" s="2961">
        <v>1902</v>
      </c>
      <c r="E602" s="2961" t="s">
        <v>3711</v>
      </c>
      <c r="F602" s="2961">
        <v>83.98</v>
      </c>
    </row>
    <row r="603" spans="1:6">
      <c r="A603" s="2961">
        <v>601</v>
      </c>
      <c r="B603" s="2961" t="s">
        <v>3635</v>
      </c>
      <c r="D603" s="2961">
        <v>1903</v>
      </c>
      <c r="E603" s="2961" t="s">
        <v>3712</v>
      </c>
      <c r="F603" s="2961">
        <v>97.72</v>
      </c>
    </row>
    <row r="604" spans="1:6">
      <c r="A604" s="2961">
        <v>602</v>
      </c>
      <c r="B604" s="2961" t="s">
        <v>3635</v>
      </c>
      <c r="D604" s="2961">
        <v>1904</v>
      </c>
      <c r="E604" s="2961" t="s">
        <v>3713</v>
      </c>
      <c r="F604" s="2961">
        <v>85.38</v>
      </c>
    </row>
    <row r="605" spans="1:6">
      <c r="A605" s="2961">
        <v>603</v>
      </c>
      <c r="B605" s="2961" t="s">
        <v>3635</v>
      </c>
      <c r="D605" s="2961">
        <v>1905</v>
      </c>
      <c r="E605" s="2961" t="s">
        <v>3714</v>
      </c>
      <c r="F605" s="2961">
        <v>102.39</v>
      </c>
    </row>
    <row r="606" spans="1:6">
      <c r="A606" s="2961">
        <v>604</v>
      </c>
      <c r="B606" s="2961" t="s">
        <v>3635</v>
      </c>
      <c r="D606" s="2961">
        <v>2001</v>
      </c>
      <c r="E606" s="2961" t="s">
        <v>3715</v>
      </c>
      <c r="F606" s="2961">
        <v>95.69</v>
      </c>
    </row>
    <row r="607" spans="1:6">
      <c r="A607" s="2961">
        <v>605</v>
      </c>
      <c r="B607" s="2961" t="s">
        <v>3635</v>
      </c>
      <c r="D607" s="2961">
        <v>2002</v>
      </c>
      <c r="E607" s="2961" t="s">
        <v>3716</v>
      </c>
      <c r="F607" s="2961">
        <v>83.98</v>
      </c>
    </row>
    <row r="608" spans="1:6">
      <c r="A608" s="2961">
        <v>606</v>
      </c>
      <c r="B608" s="2961" t="s">
        <v>3635</v>
      </c>
      <c r="D608" s="2961">
        <v>2003</v>
      </c>
      <c r="E608" s="2961" t="s">
        <v>3717</v>
      </c>
      <c r="F608" s="2961">
        <v>97.72</v>
      </c>
    </row>
    <row r="609" spans="1:6">
      <c r="A609" s="2961">
        <v>607</v>
      </c>
      <c r="B609" s="2961" t="s">
        <v>3635</v>
      </c>
      <c r="D609" s="2961">
        <v>2004</v>
      </c>
      <c r="E609" s="2961" t="s">
        <v>3718</v>
      </c>
      <c r="F609" s="2961">
        <v>85.38</v>
      </c>
    </row>
    <row r="610" spans="1:6">
      <c r="A610" s="2961">
        <v>608</v>
      </c>
      <c r="B610" s="2961" t="s">
        <v>3635</v>
      </c>
      <c r="D610" s="2961">
        <v>2005</v>
      </c>
      <c r="E610" s="2961" t="s">
        <v>3719</v>
      </c>
      <c r="F610" s="2961">
        <v>102.39</v>
      </c>
    </row>
    <row r="611" spans="1:6">
      <c r="A611" s="2961">
        <v>609</v>
      </c>
      <c r="B611" s="2961" t="s">
        <v>3635</v>
      </c>
      <c r="D611" s="2961">
        <v>2101</v>
      </c>
      <c r="E611" s="2961" t="s">
        <v>3720</v>
      </c>
      <c r="F611" s="2961">
        <v>95.69</v>
      </c>
    </row>
    <row r="612" spans="1:6">
      <c r="A612" s="2961">
        <v>610</v>
      </c>
      <c r="B612" s="2961" t="s">
        <v>3635</v>
      </c>
      <c r="D612" s="2961">
        <v>2102</v>
      </c>
      <c r="E612" s="2961" t="s">
        <v>3721</v>
      </c>
      <c r="F612" s="2961">
        <v>83.98</v>
      </c>
    </row>
    <row r="613" spans="1:6">
      <c r="A613" s="2961">
        <v>611</v>
      </c>
      <c r="B613" s="2961" t="s">
        <v>3635</v>
      </c>
      <c r="D613" s="2961">
        <v>2103</v>
      </c>
      <c r="E613" s="2961" t="s">
        <v>3722</v>
      </c>
      <c r="F613" s="2961">
        <v>97.72</v>
      </c>
    </row>
    <row r="614" spans="1:6">
      <c r="A614" s="2961">
        <v>612</v>
      </c>
      <c r="B614" s="2961" t="s">
        <v>3635</v>
      </c>
      <c r="D614" s="2961">
        <v>2104</v>
      </c>
      <c r="E614" s="2961" t="s">
        <v>3723</v>
      </c>
      <c r="F614" s="2961">
        <v>85.38</v>
      </c>
    </row>
    <row r="615" spans="1:6">
      <c r="A615" s="2961">
        <v>613</v>
      </c>
      <c r="B615" s="2961" t="s">
        <v>3635</v>
      </c>
      <c r="D615" s="2961">
        <v>2105</v>
      </c>
      <c r="E615" s="2961" t="s">
        <v>3724</v>
      </c>
      <c r="F615" s="2961">
        <v>102.39</v>
      </c>
    </row>
    <row r="616" spans="1:6">
      <c r="A616" s="2961">
        <v>614</v>
      </c>
      <c r="B616" s="2961" t="s">
        <v>3635</v>
      </c>
      <c r="D616" s="2961">
        <v>2201</v>
      </c>
      <c r="E616" s="2961" t="s">
        <v>3725</v>
      </c>
      <c r="F616" s="2961">
        <v>95.69</v>
      </c>
    </row>
    <row r="617" spans="1:6">
      <c r="A617" s="2961">
        <v>615</v>
      </c>
      <c r="B617" s="2961" t="s">
        <v>3635</v>
      </c>
      <c r="D617" s="2961">
        <v>2202</v>
      </c>
      <c r="E617" s="2961" t="s">
        <v>3726</v>
      </c>
      <c r="F617" s="2961">
        <v>83.98</v>
      </c>
    </row>
    <row r="618" spans="1:6">
      <c r="A618" s="2961">
        <v>616</v>
      </c>
      <c r="B618" s="2961" t="s">
        <v>3635</v>
      </c>
      <c r="D618" s="2961">
        <v>2203</v>
      </c>
      <c r="E618" s="2961" t="s">
        <v>3727</v>
      </c>
      <c r="F618" s="2961">
        <v>97.72</v>
      </c>
    </row>
    <row r="619" spans="1:6">
      <c r="A619" s="2961">
        <v>617</v>
      </c>
      <c r="B619" s="2961" t="s">
        <v>3635</v>
      </c>
      <c r="D619" s="2961">
        <v>2204</v>
      </c>
      <c r="E619" s="2961" t="s">
        <v>3728</v>
      </c>
      <c r="F619" s="2961">
        <v>85.38</v>
      </c>
    </row>
    <row r="620" spans="1:6">
      <c r="A620" s="2961">
        <v>618</v>
      </c>
      <c r="B620" s="2961" t="s">
        <v>3635</v>
      </c>
      <c r="D620" s="2961">
        <v>2205</v>
      </c>
      <c r="E620" s="2961" t="s">
        <v>3729</v>
      </c>
      <c r="F620" s="2961">
        <v>102.39</v>
      </c>
    </row>
    <row r="621" spans="1:6">
      <c r="A621" s="2961">
        <v>619</v>
      </c>
      <c r="B621" s="2961" t="s">
        <v>3635</v>
      </c>
      <c r="D621" s="2961">
        <v>2301</v>
      </c>
      <c r="E621" s="2961" t="s">
        <v>3730</v>
      </c>
      <c r="F621" s="2961">
        <v>95.69</v>
      </c>
    </row>
    <row r="622" spans="1:6">
      <c r="A622" s="2961">
        <v>620</v>
      </c>
      <c r="B622" s="2961" t="s">
        <v>3635</v>
      </c>
      <c r="D622" s="2961">
        <v>2302</v>
      </c>
      <c r="E622" s="2961" t="s">
        <v>3731</v>
      </c>
      <c r="F622" s="2961">
        <v>83.98</v>
      </c>
    </row>
    <row r="623" spans="1:6">
      <c r="A623" s="2961">
        <v>621</v>
      </c>
      <c r="B623" s="2961" t="s">
        <v>3635</v>
      </c>
      <c r="D623" s="2961">
        <v>2303</v>
      </c>
      <c r="E623" s="2961" t="s">
        <v>3732</v>
      </c>
      <c r="F623" s="2961">
        <v>97.72</v>
      </c>
    </row>
    <row r="624" spans="1:6">
      <c r="A624" s="2961">
        <v>622</v>
      </c>
      <c r="B624" s="2961" t="s">
        <v>3635</v>
      </c>
      <c r="D624" s="2961">
        <v>2304</v>
      </c>
      <c r="E624" s="2961" t="s">
        <v>3733</v>
      </c>
      <c r="F624" s="2961">
        <v>85.38</v>
      </c>
    </row>
    <row r="625" spans="1:6">
      <c r="A625" s="2961">
        <v>623</v>
      </c>
      <c r="B625" s="2961" t="s">
        <v>3635</v>
      </c>
      <c r="D625" s="2961">
        <v>2305</v>
      </c>
      <c r="E625" s="2961" t="s">
        <v>3734</v>
      </c>
      <c r="F625" s="2961">
        <v>102.39</v>
      </c>
    </row>
    <row r="626" spans="1:6">
      <c r="A626" s="2961">
        <v>624</v>
      </c>
      <c r="B626" s="2961" t="s">
        <v>3735</v>
      </c>
      <c r="D626" s="2961">
        <v>102</v>
      </c>
      <c r="E626" s="2961" t="s">
        <v>3736</v>
      </c>
      <c r="F626" s="2961">
        <v>83.98</v>
      </c>
    </row>
    <row r="627" spans="1:6">
      <c r="A627" s="2961">
        <v>625</v>
      </c>
      <c r="B627" s="2961" t="s">
        <v>3735</v>
      </c>
      <c r="D627" s="2961">
        <v>104</v>
      </c>
      <c r="E627" s="2961" t="s">
        <v>3737</v>
      </c>
      <c r="F627" s="2961">
        <v>87.26</v>
      </c>
    </row>
    <row r="628" spans="1:6">
      <c r="A628" s="2961">
        <v>626</v>
      </c>
      <c r="B628" s="2961" t="s">
        <v>3735</v>
      </c>
      <c r="D628" s="2961">
        <v>201</v>
      </c>
      <c r="E628" s="2961" t="s">
        <v>3738</v>
      </c>
      <c r="F628" s="2961">
        <v>93.16</v>
      </c>
    </row>
    <row r="629" spans="1:6">
      <c r="A629" s="2961">
        <v>627</v>
      </c>
      <c r="B629" s="2961" t="s">
        <v>3735</v>
      </c>
      <c r="D629" s="2961">
        <v>202</v>
      </c>
      <c r="E629" s="2961" t="s">
        <v>3739</v>
      </c>
      <c r="F629" s="2961">
        <v>84.37</v>
      </c>
    </row>
    <row r="630" spans="1:6">
      <c r="A630" s="2961">
        <v>628</v>
      </c>
      <c r="B630" s="2961" t="s">
        <v>3735</v>
      </c>
      <c r="D630" s="2961">
        <v>203</v>
      </c>
      <c r="E630" s="2961" t="s">
        <v>3740</v>
      </c>
      <c r="F630" s="2961">
        <v>106.18</v>
      </c>
    </row>
    <row r="631" spans="1:6">
      <c r="A631" s="2961">
        <v>629</v>
      </c>
      <c r="B631" s="2961" t="s">
        <v>3735</v>
      </c>
      <c r="D631" s="2961">
        <v>204</v>
      </c>
      <c r="E631" s="2961" t="s">
        <v>3741</v>
      </c>
      <c r="F631" s="2961">
        <v>88.34</v>
      </c>
    </row>
    <row r="632" spans="1:6">
      <c r="A632" s="2961">
        <v>630</v>
      </c>
      <c r="B632" s="2961" t="s">
        <v>3735</v>
      </c>
      <c r="D632" s="2961">
        <v>301</v>
      </c>
      <c r="E632" s="2961" t="s">
        <v>3742</v>
      </c>
      <c r="F632" s="2961">
        <v>93.16</v>
      </c>
    </row>
    <row r="633" spans="1:6">
      <c r="A633" s="2961">
        <v>631</v>
      </c>
      <c r="B633" s="2961" t="s">
        <v>3735</v>
      </c>
      <c r="D633" s="2961">
        <v>302</v>
      </c>
      <c r="E633" s="2961" t="s">
        <v>3743</v>
      </c>
      <c r="F633" s="2961">
        <v>84.37</v>
      </c>
    </row>
    <row r="634" spans="1:6">
      <c r="A634" s="2961">
        <v>632</v>
      </c>
      <c r="B634" s="2961" t="s">
        <v>3735</v>
      </c>
      <c r="D634" s="2961">
        <v>303</v>
      </c>
      <c r="E634" s="2961" t="s">
        <v>3744</v>
      </c>
      <c r="F634" s="2961">
        <v>106.18</v>
      </c>
    </row>
    <row r="635" spans="1:6">
      <c r="A635" s="2961">
        <v>633</v>
      </c>
      <c r="B635" s="2961" t="s">
        <v>3735</v>
      </c>
      <c r="D635" s="2961">
        <v>304</v>
      </c>
      <c r="E635" s="2961" t="s">
        <v>3745</v>
      </c>
      <c r="F635" s="2961">
        <v>88.34</v>
      </c>
    </row>
    <row r="636" spans="1:6">
      <c r="A636" s="2961">
        <v>634</v>
      </c>
      <c r="B636" s="2961" t="s">
        <v>3735</v>
      </c>
      <c r="D636" s="2961">
        <v>402</v>
      </c>
      <c r="E636" s="2961" t="s">
        <v>3746</v>
      </c>
      <c r="F636" s="2961">
        <v>84.37</v>
      </c>
    </row>
    <row r="637" spans="1:6">
      <c r="A637" s="2961">
        <v>635</v>
      </c>
      <c r="B637" s="2961" t="s">
        <v>3735</v>
      </c>
      <c r="D637" s="2961">
        <v>403</v>
      </c>
      <c r="E637" s="2961" t="s">
        <v>3747</v>
      </c>
      <c r="F637" s="2961">
        <v>106.18</v>
      </c>
    </row>
    <row r="638" spans="1:6">
      <c r="A638" s="2961">
        <v>636</v>
      </c>
      <c r="B638" s="2961" t="s">
        <v>3735</v>
      </c>
      <c r="D638" s="2961">
        <v>404</v>
      </c>
      <c r="E638" s="2961" t="s">
        <v>3748</v>
      </c>
      <c r="F638" s="2961">
        <v>88.34</v>
      </c>
    </row>
    <row r="639" spans="1:6">
      <c r="A639" s="2961">
        <v>637</v>
      </c>
      <c r="B639" s="2961" t="s">
        <v>3735</v>
      </c>
      <c r="D639" s="2961">
        <v>503</v>
      </c>
      <c r="E639" s="2961" t="s">
        <v>3749</v>
      </c>
      <c r="F639" s="2961">
        <v>106.18</v>
      </c>
    </row>
    <row r="640" spans="1:6">
      <c r="A640" s="2961">
        <v>638</v>
      </c>
      <c r="B640" s="2961" t="s">
        <v>3735</v>
      </c>
      <c r="D640" s="2961">
        <v>504</v>
      </c>
      <c r="E640" s="2961" t="s">
        <v>3750</v>
      </c>
      <c r="F640" s="2961">
        <v>88.34</v>
      </c>
    </row>
    <row r="641" spans="1:6">
      <c r="A641" s="2961">
        <v>639</v>
      </c>
      <c r="B641" s="2961" t="s">
        <v>3735</v>
      </c>
      <c r="D641" s="2961">
        <v>601</v>
      </c>
      <c r="E641" s="2961" t="s">
        <v>3751</v>
      </c>
      <c r="F641" s="2961">
        <v>93.16</v>
      </c>
    </row>
    <row r="642" spans="1:6">
      <c r="A642" s="2961">
        <v>640</v>
      </c>
      <c r="B642" s="2961" t="s">
        <v>3735</v>
      </c>
      <c r="D642" s="2961">
        <v>602</v>
      </c>
      <c r="E642" s="2961" t="s">
        <v>3752</v>
      </c>
      <c r="F642" s="2961">
        <v>84.37</v>
      </c>
    </row>
    <row r="643" spans="1:6">
      <c r="A643" s="2961">
        <v>641</v>
      </c>
      <c r="B643" s="2961" t="s">
        <v>3735</v>
      </c>
      <c r="D643" s="2961">
        <v>603</v>
      </c>
      <c r="E643" s="2961" t="s">
        <v>3753</v>
      </c>
      <c r="F643" s="2961">
        <v>106.18</v>
      </c>
    </row>
    <row r="644" spans="1:6">
      <c r="A644" s="2961">
        <v>642</v>
      </c>
      <c r="B644" s="2961" t="s">
        <v>3735</v>
      </c>
      <c r="D644" s="2961">
        <v>604</v>
      </c>
      <c r="E644" s="2961" t="s">
        <v>3754</v>
      </c>
      <c r="F644" s="2961">
        <v>88.34</v>
      </c>
    </row>
    <row r="645" spans="1:6">
      <c r="A645" s="2961">
        <v>643</v>
      </c>
      <c r="B645" s="2961" t="s">
        <v>3735</v>
      </c>
      <c r="D645" s="2961">
        <v>701</v>
      </c>
      <c r="E645" s="2961" t="s">
        <v>3755</v>
      </c>
      <c r="F645" s="2961">
        <v>93.16</v>
      </c>
    </row>
    <row r="646" spans="1:6">
      <c r="A646" s="2961">
        <v>644</v>
      </c>
      <c r="B646" s="2961" t="s">
        <v>3735</v>
      </c>
      <c r="D646" s="2961">
        <v>702</v>
      </c>
      <c r="E646" s="2961" t="s">
        <v>3756</v>
      </c>
      <c r="F646" s="2961">
        <v>84.37</v>
      </c>
    </row>
    <row r="647" spans="1:6">
      <c r="A647" s="2961">
        <v>645</v>
      </c>
      <c r="B647" s="2961" t="s">
        <v>3735</v>
      </c>
      <c r="D647" s="2961">
        <v>703</v>
      </c>
      <c r="E647" s="2961" t="s">
        <v>3757</v>
      </c>
      <c r="F647" s="2961">
        <v>106.18</v>
      </c>
    </row>
    <row r="648" spans="1:6">
      <c r="A648" s="2961">
        <v>646</v>
      </c>
      <c r="B648" s="2961" t="s">
        <v>3735</v>
      </c>
      <c r="D648" s="2961">
        <v>704</v>
      </c>
      <c r="E648" s="2961" t="s">
        <v>3758</v>
      </c>
      <c r="F648" s="2961">
        <v>88.34</v>
      </c>
    </row>
    <row r="649" spans="1:6">
      <c r="A649" s="2961">
        <v>647</v>
      </c>
      <c r="B649" s="2961" t="s">
        <v>3735</v>
      </c>
      <c r="D649" s="2961">
        <v>801</v>
      </c>
      <c r="E649" s="2961" t="s">
        <v>3759</v>
      </c>
      <c r="F649" s="2961">
        <v>93.16</v>
      </c>
    </row>
    <row r="650" spans="1:6">
      <c r="A650" s="2961">
        <v>648</v>
      </c>
      <c r="B650" s="2961" t="s">
        <v>3735</v>
      </c>
      <c r="D650" s="2961">
        <v>802</v>
      </c>
      <c r="E650" s="2961" t="s">
        <v>3760</v>
      </c>
      <c r="F650" s="2961">
        <v>84.37</v>
      </c>
    </row>
    <row r="651" spans="1:6">
      <c r="A651" s="2961">
        <v>649</v>
      </c>
      <c r="B651" s="2961" t="s">
        <v>3735</v>
      </c>
      <c r="D651" s="2961">
        <v>803</v>
      </c>
      <c r="E651" s="2961" t="s">
        <v>3761</v>
      </c>
      <c r="F651" s="2961">
        <v>106.18</v>
      </c>
    </row>
    <row r="652" spans="1:6">
      <c r="A652" s="2961">
        <v>650</v>
      </c>
      <c r="B652" s="2961" t="s">
        <v>3735</v>
      </c>
      <c r="D652" s="2961">
        <v>804</v>
      </c>
      <c r="E652" s="2961" t="s">
        <v>3762</v>
      </c>
      <c r="F652" s="2961">
        <v>88.34</v>
      </c>
    </row>
    <row r="653" spans="1:6">
      <c r="A653" s="2961">
        <v>651</v>
      </c>
      <c r="B653" s="2961" t="s">
        <v>3735</v>
      </c>
      <c r="D653" s="2961">
        <v>901</v>
      </c>
      <c r="E653" s="2961" t="s">
        <v>3763</v>
      </c>
      <c r="F653" s="2961">
        <v>93.16</v>
      </c>
    </row>
    <row r="654" spans="1:6">
      <c r="A654" s="2961">
        <v>652</v>
      </c>
      <c r="B654" s="2961" t="s">
        <v>3735</v>
      </c>
      <c r="D654" s="2961">
        <v>902</v>
      </c>
      <c r="E654" s="2961" t="s">
        <v>3764</v>
      </c>
      <c r="F654" s="2961">
        <v>84.37</v>
      </c>
    </row>
    <row r="655" spans="1:6">
      <c r="A655" s="2961">
        <v>653</v>
      </c>
      <c r="B655" s="2961" t="s">
        <v>3735</v>
      </c>
      <c r="D655" s="2961">
        <v>903</v>
      </c>
      <c r="E655" s="2961" t="s">
        <v>3765</v>
      </c>
      <c r="F655" s="2961">
        <v>106.18</v>
      </c>
    </row>
    <row r="656" spans="1:6">
      <c r="A656" s="2961">
        <v>654</v>
      </c>
      <c r="B656" s="2961" t="s">
        <v>3735</v>
      </c>
      <c r="D656" s="2961">
        <v>904</v>
      </c>
      <c r="E656" s="2961" t="s">
        <v>3766</v>
      </c>
      <c r="F656" s="2961">
        <v>88.34</v>
      </c>
    </row>
    <row r="657" spans="1:6">
      <c r="A657" s="2961">
        <v>655</v>
      </c>
      <c r="B657" s="2961" t="s">
        <v>3735</v>
      </c>
      <c r="D657" s="2961">
        <v>1001</v>
      </c>
      <c r="E657" s="2961" t="s">
        <v>3767</v>
      </c>
      <c r="F657" s="2961">
        <v>93.16</v>
      </c>
    </row>
    <row r="658" spans="1:6">
      <c r="A658" s="2961">
        <v>656</v>
      </c>
      <c r="B658" s="2961" t="s">
        <v>3735</v>
      </c>
      <c r="D658" s="2961">
        <v>1002</v>
      </c>
      <c r="E658" s="2961" t="s">
        <v>3768</v>
      </c>
      <c r="F658" s="2961">
        <v>84.37</v>
      </c>
    </row>
    <row r="659" spans="1:6">
      <c r="A659" s="2961">
        <v>657</v>
      </c>
      <c r="B659" s="2961" t="s">
        <v>3735</v>
      </c>
      <c r="D659" s="2961">
        <v>1003</v>
      </c>
      <c r="E659" s="2961" t="s">
        <v>3769</v>
      </c>
      <c r="F659" s="2961">
        <v>106.18</v>
      </c>
    </row>
    <row r="660" spans="1:6">
      <c r="A660" s="2961">
        <v>658</v>
      </c>
      <c r="B660" s="2961" t="s">
        <v>3735</v>
      </c>
      <c r="D660" s="2961">
        <v>1004</v>
      </c>
      <c r="E660" s="2961" t="s">
        <v>3770</v>
      </c>
      <c r="F660" s="2961">
        <v>88.34</v>
      </c>
    </row>
    <row r="661" spans="1:6">
      <c r="A661" s="2961">
        <v>659</v>
      </c>
      <c r="B661" s="2961" t="s">
        <v>3735</v>
      </c>
      <c r="D661" s="2961">
        <v>1101</v>
      </c>
      <c r="E661" s="2961" t="s">
        <v>3771</v>
      </c>
      <c r="F661" s="2961">
        <v>93.16</v>
      </c>
    </row>
    <row r="662" spans="1:6">
      <c r="A662" s="2961">
        <v>660</v>
      </c>
      <c r="B662" s="2961" t="s">
        <v>3735</v>
      </c>
      <c r="D662" s="2961">
        <v>1102</v>
      </c>
      <c r="E662" s="2961" t="s">
        <v>3772</v>
      </c>
      <c r="F662" s="2961">
        <v>84.37</v>
      </c>
    </row>
    <row r="663" spans="1:6">
      <c r="A663" s="2961">
        <v>661</v>
      </c>
      <c r="B663" s="2961" t="s">
        <v>3735</v>
      </c>
      <c r="D663" s="2961">
        <v>1104</v>
      </c>
      <c r="E663" s="2961" t="s">
        <v>3773</v>
      </c>
      <c r="F663" s="2961">
        <v>88.34</v>
      </c>
    </row>
    <row r="664" spans="1:6">
      <c r="A664" s="2961">
        <v>662</v>
      </c>
      <c r="B664" s="2961" t="s">
        <v>3735</v>
      </c>
      <c r="D664" s="2961">
        <v>1201</v>
      </c>
      <c r="E664" s="2961" t="s">
        <v>3774</v>
      </c>
      <c r="F664" s="2961">
        <v>93.16</v>
      </c>
    </row>
    <row r="665" spans="1:6">
      <c r="A665" s="2961">
        <v>663</v>
      </c>
      <c r="B665" s="2961" t="s">
        <v>3735</v>
      </c>
      <c r="D665" s="2961">
        <v>1202</v>
      </c>
      <c r="E665" s="2961" t="s">
        <v>3775</v>
      </c>
      <c r="F665" s="2961">
        <v>84.37</v>
      </c>
    </row>
    <row r="666" spans="1:6">
      <c r="A666" s="2961">
        <v>664</v>
      </c>
      <c r="B666" s="2961" t="s">
        <v>3735</v>
      </c>
      <c r="D666" s="2961">
        <v>1203</v>
      </c>
      <c r="E666" s="2961" t="s">
        <v>3776</v>
      </c>
      <c r="F666" s="2961">
        <v>106.18</v>
      </c>
    </row>
    <row r="667" spans="1:6">
      <c r="A667" s="2961">
        <v>665</v>
      </c>
      <c r="B667" s="2961" t="s">
        <v>3735</v>
      </c>
      <c r="D667" s="2961">
        <v>1204</v>
      </c>
      <c r="E667" s="2961" t="s">
        <v>3777</v>
      </c>
      <c r="F667" s="2961">
        <v>88.34</v>
      </c>
    </row>
    <row r="668" spans="1:6">
      <c r="A668" s="2961">
        <v>666</v>
      </c>
      <c r="B668" s="2961" t="s">
        <v>3735</v>
      </c>
      <c r="D668" s="2961">
        <v>1301</v>
      </c>
      <c r="E668" s="2961" t="s">
        <v>3778</v>
      </c>
      <c r="F668" s="2961">
        <v>93.16</v>
      </c>
    </row>
    <row r="669" spans="1:6">
      <c r="A669" s="2961">
        <v>667</v>
      </c>
      <c r="B669" s="2961" t="s">
        <v>3735</v>
      </c>
      <c r="D669" s="2961">
        <v>1302</v>
      </c>
      <c r="E669" s="2961" t="s">
        <v>3779</v>
      </c>
      <c r="F669" s="2961">
        <v>84.37</v>
      </c>
    </row>
    <row r="670" spans="1:6">
      <c r="A670" s="2961">
        <v>668</v>
      </c>
      <c r="B670" s="2961" t="s">
        <v>3735</v>
      </c>
      <c r="D670" s="2961">
        <v>1303</v>
      </c>
      <c r="E670" s="2961" t="s">
        <v>3780</v>
      </c>
      <c r="F670" s="2961">
        <v>106.18</v>
      </c>
    </row>
    <row r="671" spans="1:6">
      <c r="A671" s="2961">
        <v>669</v>
      </c>
      <c r="B671" s="2961" t="s">
        <v>3735</v>
      </c>
      <c r="D671" s="2961">
        <v>1304</v>
      </c>
      <c r="E671" s="2961" t="s">
        <v>3781</v>
      </c>
      <c r="F671" s="2961">
        <v>88.34</v>
      </c>
    </row>
    <row r="672" spans="1:6">
      <c r="A672" s="2961">
        <v>670</v>
      </c>
      <c r="B672" s="2961" t="s">
        <v>3735</v>
      </c>
      <c r="D672" s="2961">
        <v>1403</v>
      </c>
      <c r="E672" s="2961" t="s">
        <v>3782</v>
      </c>
      <c r="F672" s="2961">
        <v>106.18</v>
      </c>
    </row>
    <row r="673" spans="1:6">
      <c r="A673" s="2961">
        <v>671</v>
      </c>
      <c r="B673" s="2961" t="s">
        <v>3735</v>
      </c>
      <c r="D673" s="2961">
        <v>1404</v>
      </c>
      <c r="E673" s="2961" t="s">
        <v>3783</v>
      </c>
      <c r="F673" s="2961">
        <v>88.34</v>
      </c>
    </row>
    <row r="674" spans="1:6">
      <c r="A674" s="2961">
        <v>672</v>
      </c>
      <c r="B674" s="2961" t="s">
        <v>3735</v>
      </c>
      <c r="D674" s="2961">
        <v>1502</v>
      </c>
      <c r="E674" s="2961" t="s">
        <v>3784</v>
      </c>
      <c r="F674" s="2961">
        <v>84.37</v>
      </c>
    </row>
    <row r="675" spans="1:6">
      <c r="A675" s="2961">
        <v>673</v>
      </c>
      <c r="B675" s="2961" t="s">
        <v>3735</v>
      </c>
      <c r="D675" s="2961">
        <v>1504</v>
      </c>
      <c r="E675" s="2961" t="s">
        <v>3785</v>
      </c>
      <c r="F675" s="2961">
        <v>88.34</v>
      </c>
    </row>
    <row r="676" spans="1:6">
      <c r="A676" s="2961">
        <v>674</v>
      </c>
      <c r="B676" s="2961" t="s">
        <v>3735</v>
      </c>
      <c r="D676" s="2961">
        <v>1601</v>
      </c>
      <c r="E676" s="2961" t="s">
        <v>3786</v>
      </c>
      <c r="F676" s="2961">
        <v>93.16</v>
      </c>
    </row>
    <row r="677" spans="1:6">
      <c r="A677" s="2961">
        <v>675</v>
      </c>
      <c r="B677" s="2961" t="s">
        <v>3735</v>
      </c>
      <c r="D677" s="2961">
        <v>1602</v>
      </c>
      <c r="E677" s="2961" t="s">
        <v>3787</v>
      </c>
      <c r="F677" s="2961">
        <v>84.37</v>
      </c>
    </row>
    <row r="678" spans="1:6">
      <c r="A678" s="2961">
        <v>676</v>
      </c>
      <c r="B678" s="2961" t="s">
        <v>3735</v>
      </c>
      <c r="D678" s="2961">
        <v>1603</v>
      </c>
      <c r="E678" s="2961" t="s">
        <v>3788</v>
      </c>
      <c r="F678" s="2961">
        <v>106.18</v>
      </c>
    </row>
    <row r="679" spans="1:6">
      <c r="A679" s="2961">
        <v>677</v>
      </c>
      <c r="B679" s="2961" t="s">
        <v>3735</v>
      </c>
      <c r="D679" s="2961">
        <v>1702</v>
      </c>
      <c r="E679" s="2961" t="s">
        <v>3789</v>
      </c>
      <c r="F679" s="2961">
        <v>84.37</v>
      </c>
    </row>
    <row r="680" spans="1:6">
      <c r="A680" s="2961">
        <v>678</v>
      </c>
      <c r="B680" s="2961" t="s">
        <v>3735</v>
      </c>
      <c r="D680" s="2961">
        <v>1704</v>
      </c>
      <c r="E680" s="2961" t="s">
        <v>3790</v>
      </c>
      <c r="F680" s="2961">
        <v>88.34</v>
      </c>
    </row>
    <row r="681" spans="1:6">
      <c r="A681" s="2961">
        <v>679</v>
      </c>
      <c r="B681" s="2961" t="s">
        <v>3735</v>
      </c>
      <c r="D681" s="2961">
        <v>1801</v>
      </c>
      <c r="E681" s="2961" t="s">
        <v>3791</v>
      </c>
      <c r="F681" s="2961">
        <v>93.16</v>
      </c>
    </row>
    <row r="682" spans="1:6">
      <c r="A682" s="2961">
        <v>680</v>
      </c>
      <c r="B682" s="2961" t="s">
        <v>3735</v>
      </c>
      <c r="D682" s="2961">
        <v>1802</v>
      </c>
      <c r="E682" s="2961" t="s">
        <v>3792</v>
      </c>
      <c r="F682" s="2961">
        <v>84.37</v>
      </c>
    </row>
    <row r="683" spans="1:6">
      <c r="A683" s="2961">
        <v>681</v>
      </c>
      <c r="B683" s="2961" t="s">
        <v>3735</v>
      </c>
      <c r="D683" s="2961">
        <v>1803</v>
      </c>
      <c r="E683" s="2961" t="s">
        <v>3793</v>
      </c>
      <c r="F683" s="2961">
        <v>106.18</v>
      </c>
    </row>
    <row r="684" spans="1:6">
      <c r="A684" s="2961">
        <v>682</v>
      </c>
      <c r="B684" s="2961" t="s">
        <v>3735</v>
      </c>
      <c r="D684" s="2961">
        <v>1901</v>
      </c>
      <c r="E684" s="2961" t="s">
        <v>3794</v>
      </c>
      <c r="F684" s="2961">
        <v>93.16</v>
      </c>
    </row>
    <row r="685" spans="1:6">
      <c r="A685" s="2961">
        <v>683</v>
      </c>
      <c r="B685" s="2961" t="s">
        <v>3735</v>
      </c>
      <c r="D685" s="2961">
        <v>1902</v>
      </c>
      <c r="E685" s="2961" t="s">
        <v>3795</v>
      </c>
      <c r="F685" s="2961">
        <v>84.37</v>
      </c>
    </row>
    <row r="686" spans="1:6">
      <c r="A686" s="2961">
        <v>684</v>
      </c>
      <c r="B686" s="2961" t="s">
        <v>3735</v>
      </c>
      <c r="D686" s="2961">
        <v>1904</v>
      </c>
      <c r="E686" s="2961" t="s">
        <v>3796</v>
      </c>
      <c r="F686" s="2961">
        <v>88.34</v>
      </c>
    </row>
    <row r="687" spans="1:6">
      <c r="A687" s="2961">
        <v>685</v>
      </c>
      <c r="B687" s="2961" t="s">
        <v>3735</v>
      </c>
      <c r="D687" s="2961">
        <v>2001</v>
      </c>
      <c r="E687" s="2961" t="s">
        <v>3797</v>
      </c>
      <c r="F687" s="2961">
        <v>93.16</v>
      </c>
    </row>
    <row r="688" spans="1:6">
      <c r="A688" s="2961">
        <v>686</v>
      </c>
      <c r="B688" s="2961" t="s">
        <v>3735</v>
      </c>
      <c r="D688" s="2961">
        <v>2002</v>
      </c>
      <c r="E688" s="2961" t="s">
        <v>3798</v>
      </c>
      <c r="F688" s="2961">
        <v>84.37</v>
      </c>
    </row>
    <row r="689" spans="1:6">
      <c r="A689" s="2961">
        <v>687</v>
      </c>
      <c r="B689" s="2961" t="s">
        <v>3735</v>
      </c>
      <c r="D689" s="2961">
        <v>2003</v>
      </c>
      <c r="E689" s="2961" t="s">
        <v>3799</v>
      </c>
      <c r="F689" s="2961">
        <v>106.18</v>
      </c>
    </row>
    <row r="690" spans="1:6">
      <c r="A690" s="2961">
        <v>688</v>
      </c>
      <c r="B690" s="2961" t="s">
        <v>3735</v>
      </c>
      <c r="D690" s="2961">
        <v>2004</v>
      </c>
      <c r="E690" s="2961" t="s">
        <v>3800</v>
      </c>
      <c r="F690" s="2961">
        <v>88.34</v>
      </c>
    </row>
    <row r="691" spans="1:6">
      <c r="A691" s="2961">
        <v>689</v>
      </c>
      <c r="B691" s="2961" t="s">
        <v>3735</v>
      </c>
      <c r="D691" s="2961">
        <v>2102</v>
      </c>
      <c r="E691" s="2961" t="s">
        <v>3801</v>
      </c>
      <c r="F691" s="2961">
        <v>84.37</v>
      </c>
    </row>
    <row r="692" spans="1:6">
      <c r="A692" s="2961">
        <v>690</v>
      </c>
      <c r="B692" s="2961" t="s">
        <v>3735</v>
      </c>
      <c r="D692" s="2961">
        <v>2103</v>
      </c>
      <c r="E692" s="2961" t="s">
        <v>3802</v>
      </c>
      <c r="F692" s="2961">
        <v>106.18</v>
      </c>
    </row>
    <row r="693" spans="1:6">
      <c r="A693" s="2961">
        <v>691</v>
      </c>
      <c r="B693" s="2961" t="s">
        <v>3735</v>
      </c>
      <c r="D693" s="2961">
        <v>2104</v>
      </c>
      <c r="E693" s="2961" t="s">
        <v>3803</v>
      </c>
      <c r="F693" s="2961">
        <v>88.34</v>
      </c>
    </row>
    <row r="694" spans="1:6">
      <c r="A694" s="2961">
        <v>692</v>
      </c>
      <c r="B694" s="2961" t="s">
        <v>3735</v>
      </c>
      <c r="D694" s="2961">
        <v>2201</v>
      </c>
      <c r="E694" s="2961" t="s">
        <v>3804</v>
      </c>
      <c r="F694" s="2961">
        <v>93.16</v>
      </c>
    </row>
    <row r="695" spans="1:6">
      <c r="A695" s="2961">
        <v>693</v>
      </c>
      <c r="B695" s="2961" t="s">
        <v>3735</v>
      </c>
      <c r="D695" s="2961">
        <v>2202</v>
      </c>
      <c r="E695" s="2961" t="s">
        <v>3805</v>
      </c>
      <c r="F695" s="2961">
        <v>84.37</v>
      </c>
    </row>
    <row r="696" spans="1:6">
      <c r="A696" s="2961">
        <v>694</v>
      </c>
      <c r="B696" s="2961" t="s">
        <v>3735</v>
      </c>
      <c r="D696" s="2961">
        <v>2203</v>
      </c>
      <c r="E696" s="2961" t="s">
        <v>3806</v>
      </c>
      <c r="F696" s="2961">
        <v>106.18</v>
      </c>
    </row>
    <row r="697" spans="1:6">
      <c r="A697" s="2961">
        <v>695</v>
      </c>
      <c r="B697" s="2961" t="s">
        <v>3735</v>
      </c>
      <c r="D697" s="2961">
        <v>2204</v>
      </c>
      <c r="E697" s="2961" t="s">
        <v>3807</v>
      </c>
      <c r="F697" s="2961">
        <v>88.34</v>
      </c>
    </row>
    <row r="698" spans="1:6">
      <c r="A698" s="2961">
        <v>696</v>
      </c>
      <c r="B698" s="2961" t="s">
        <v>3735</v>
      </c>
      <c r="D698" s="2961">
        <v>2301</v>
      </c>
      <c r="E698" s="2961" t="s">
        <v>3808</v>
      </c>
      <c r="F698" s="2961">
        <v>93.16</v>
      </c>
    </row>
    <row r="699" spans="1:6">
      <c r="A699" s="2961">
        <v>697</v>
      </c>
      <c r="B699" s="2961" t="s">
        <v>3735</v>
      </c>
      <c r="D699" s="2961">
        <v>2302</v>
      </c>
      <c r="E699" s="2961" t="s">
        <v>3809</v>
      </c>
      <c r="F699" s="2961">
        <v>84.37</v>
      </c>
    </row>
    <row r="700" spans="1:6">
      <c r="A700" s="2961">
        <v>698</v>
      </c>
      <c r="B700" s="2961" t="s">
        <v>3735</v>
      </c>
      <c r="D700" s="2961">
        <v>2303</v>
      </c>
      <c r="E700" s="2961" t="s">
        <v>3810</v>
      </c>
      <c r="F700" s="2961">
        <v>106.18</v>
      </c>
    </row>
    <row r="701" spans="1:6">
      <c r="A701" s="2961">
        <v>699</v>
      </c>
      <c r="B701" s="2961" t="s">
        <v>3735</v>
      </c>
      <c r="D701" s="2961">
        <v>2304</v>
      </c>
      <c r="E701" s="2961" t="s">
        <v>3811</v>
      </c>
      <c r="F701" s="2961">
        <v>88.34</v>
      </c>
    </row>
    <row r="702" spans="1:6">
      <c r="A702" s="2961">
        <v>700</v>
      </c>
      <c r="B702" s="2961" t="s">
        <v>3812</v>
      </c>
      <c r="D702" s="2961">
        <v>202</v>
      </c>
      <c r="E702" s="2961" t="s">
        <v>3813</v>
      </c>
      <c r="F702" s="2961">
        <v>109.28</v>
      </c>
    </row>
    <row r="703" spans="1:6">
      <c r="A703" s="2961">
        <v>701</v>
      </c>
      <c r="B703" s="2961" t="s">
        <v>3812</v>
      </c>
      <c r="D703" s="2961">
        <v>203</v>
      </c>
      <c r="E703" s="2961" t="s">
        <v>3814</v>
      </c>
      <c r="F703" s="2961">
        <v>86.82</v>
      </c>
    </row>
    <row r="704" spans="1:6">
      <c r="A704" s="2961">
        <v>702</v>
      </c>
      <c r="B704" s="2961" t="s">
        <v>3812</v>
      </c>
      <c r="D704" s="2961">
        <v>301</v>
      </c>
      <c r="E704" s="2961" t="s">
        <v>3815</v>
      </c>
      <c r="F704" s="2961">
        <v>90.93</v>
      </c>
    </row>
    <row r="705" spans="1:6">
      <c r="A705" s="2961">
        <v>703</v>
      </c>
      <c r="B705" s="2961" t="s">
        <v>3812</v>
      </c>
      <c r="D705" s="2961">
        <v>302</v>
      </c>
      <c r="E705" s="2961" t="s">
        <v>3816</v>
      </c>
      <c r="F705" s="2961">
        <v>109.28</v>
      </c>
    </row>
    <row r="706" spans="1:6">
      <c r="A706" s="2961">
        <v>704</v>
      </c>
      <c r="B706" s="2961" t="s">
        <v>3812</v>
      </c>
      <c r="D706" s="2961">
        <v>303</v>
      </c>
      <c r="E706" s="2961" t="s">
        <v>3817</v>
      </c>
      <c r="F706" s="2961">
        <v>86.82</v>
      </c>
    </row>
    <row r="707" spans="1:6">
      <c r="A707" s="2961">
        <v>705</v>
      </c>
      <c r="B707" s="2961" t="s">
        <v>3812</v>
      </c>
      <c r="D707" s="2961">
        <v>304</v>
      </c>
      <c r="E707" s="2961" t="s">
        <v>3818</v>
      </c>
      <c r="F707" s="2961">
        <v>95.89</v>
      </c>
    </row>
    <row r="708" spans="1:6">
      <c r="A708" s="2961">
        <v>706</v>
      </c>
      <c r="B708" s="2961" t="s">
        <v>3812</v>
      </c>
      <c r="D708" s="2961">
        <v>401</v>
      </c>
      <c r="E708" s="2961" t="s">
        <v>3819</v>
      </c>
      <c r="F708" s="2961">
        <v>90.93</v>
      </c>
    </row>
    <row r="709" spans="1:6">
      <c r="A709" s="2961">
        <v>707</v>
      </c>
      <c r="B709" s="2961" t="s">
        <v>3812</v>
      </c>
      <c r="D709" s="2961">
        <v>402</v>
      </c>
      <c r="E709" s="2961" t="s">
        <v>3820</v>
      </c>
      <c r="F709" s="2961">
        <v>109.28</v>
      </c>
    </row>
    <row r="710" spans="1:6">
      <c r="A710" s="2961">
        <v>708</v>
      </c>
      <c r="B710" s="2961" t="s">
        <v>3812</v>
      </c>
      <c r="D710" s="2961">
        <v>403</v>
      </c>
      <c r="E710" s="2961" t="s">
        <v>3821</v>
      </c>
      <c r="F710" s="2961">
        <v>86.82</v>
      </c>
    </row>
    <row r="711" spans="1:6">
      <c r="A711" s="2961">
        <v>709</v>
      </c>
      <c r="B711" s="2961" t="s">
        <v>3812</v>
      </c>
      <c r="D711" s="2961">
        <v>404</v>
      </c>
      <c r="E711" s="2961" t="s">
        <v>3822</v>
      </c>
      <c r="F711" s="2961">
        <v>95.89</v>
      </c>
    </row>
    <row r="712" spans="1:6">
      <c r="A712" s="2961">
        <v>710</v>
      </c>
      <c r="B712" s="2961" t="s">
        <v>3812</v>
      </c>
      <c r="D712" s="2961">
        <v>501</v>
      </c>
      <c r="E712" s="2961" t="s">
        <v>3823</v>
      </c>
      <c r="F712" s="2961">
        <v>90.93</v>
      </c>
    </row>
    <row r="713" spans="1:6">
      <c r="A713" s="2961">
        <v>711</v>
      </c>
      <c r="B713" s="2961" t="s">
        <v>3812</v>
      </c>
      <c r="D713" s="2961">
        <v>502</v>
      </c>
      <c r="E713" s="2961" t="s">
        <v>3824</v>
      </c>
      <c r="F713" s="2961">
        <v>109.28</v>
      </c>
    </row>
    <row r="714" spans="1:6">
      <c r="A714" s="2961">
        <v>712</v>
      </c>
      <c r="B714" s="2961" t="s">
        <v>3812</v>
      </c>
      <c r="D714" s="2961">
        <v>503</v>
      </c>
      <c r="E714" s="2961" t="s">
        <v>3825</v>
      </c>
      <c r="F714" s="2961">
        <v>86.82</v>
      </c>
    </row>
    <row r="715" spans="1:6">
      <c r="A715" s="2961">
        <v>713</v>
      </c>
      <c r="B715" s="2961" t="s">
        <v>3812</v>
      </c>
      <c r="D715" s="2961">
        <v>504</v>
      </c>
      <c r="E715" s="2961" t="s">
        <v>3826</v>
      </c>
      <c r="F715" s="2961">
        <v>95.89</v>
      </c>
    </row>
    <row r="716" spans="1:6">
      <c r="A716" s="2961">
        <v>714</v>
      </c>
      <c r="B716" s="2961" t="s">
        <v>3812</v>
      </c>
      <c r="D716" s="2961">
        <v>601</v>
      </c>
      <c r="E716" s="2961" t="s">
        <v>3827</v>
      </c>
      <c r="F716" s="2961">
        <v>90.93</v>
      </c>
    </row>
    <row r="717" spans="1:6">
      <c r="A717" s="2961">
        <v>715</v>
      </c>
      <c r="B717" s="2961" t="s">
        <v>3812</v>
      </c>
      <c r="D717" s="2961">
        <v>602</v>
      </c>
      <c r="E717" s="2961" t="s">
        <v>3828</v>
      </c>
      <c r="F717" s="2961">
        <v>109.28</v>
      </c>
    </row>
    <row r="718" spans="1:6">
      <c r="A718" s="2961">
        <v>716</v>
      </c>
      <c r="B718" s="2961" t="s">
        <v>3812</v>
      </c>
      <c r="D718" s="2961">
        <v>603</v>
      </c>
      <c r="E718" s="2961" t="s">
        <v>3829</v>
      </c>
      <c r="F718" s="2961">
        <v>86.82</v>
      </c>
    </row>
    <row r="719" spans="1:6">
      <c r="A719" s="2961">
        <v>717</v>
      </c>
      <c r="B719" s="2961" t="s">
        <v>3812</v>
      </c>
      <c r="D719" s="2961">
        <v>604</v>
      </c>
      <c r="E719" s="2961" t="s">
        <v>3830</v>
      </c>
      <c r="F719" s="2961">
        <v>95.89</v>
      </c>
    </row>
    <row r="720" spans="1:6">
      <c r="A720" s="2961">
        <v>718</v>
      </c>
      <c r="B720" s="2961" t="s">
        <v>3812</v>
      </c>
      <c r="D720" s="2961">
        <v>701</v>
      </c>
      <c r="E720" s="2961" t="s">
        <v>3831</v>
      </c>
      <c r="F720" s="2961">
        <v>90.93</v>
      </c>
    </row>
    <row r="721" spans="1:6">
      <c r="A721" s="2961">
        <v>719</v>
      </c>
      <c r="B721" s="2961" t="s">
        <v>3812</v>
      </c>
      <c r="D721" s="2961">
        <v>702</v>
      </c>
      <c r="E721" s="2961" t="s">
        <v>3832</v>
      </c>
      <c r="F721" s="2961">
        <v>109.28</v>
      </c>
    </row>
    <row r="722" spans="1:6">
      <c r="A722" s="2961">
        <v>720</v>
      </c>
      <c r="B722" s="2961" t="s">
        <v>3812</v>
      </c>
      <c r="D722" s="2961">
        <v>703</v>
      </c>
      <c r="E722" s="2961" t="s">
        <v>3833</v>
      </c>
      <c r="F722" s="2961">
        <v>86.82</v>
      </c>
    </row>
    <row r="723" spans="1:6">
      <c r="A723" s="2961">
        <v>721</v>
      </c>
      <c r="B723" s="2961" t="s">
        <v>3812</v>
      </c>
      <c r="D723" s="2961">
        <v>704</v>
      </c>
      <c r="E723" s="2961" t="s">
        <v>3834</v>
      </c>
      <c r="F723" s="2961">
        <v>95.89</v>
      </c>
    </row>
    <row r="724" spans="1:6">
      <c r="A724" s="2961">
        <v>722</v>
      </c>
      <c r="B724" s="2961" t="s">
        <v>3812</v>
      </c>
      <c r="D724" s="2961">
        <v>801</v>
      </c>
      <c r="E724" s="2961" t="s">
        <v>3835</v>
      </c>
      <c r="F724" s="2961">
        <v>90.93</v>
      </c>
    </row>
    <row r="725" spans="1:6">
      <c r="A725" s="2961">
        <v>723</v>
      </c>
      <c r="B725" s="2961" t="s">
        <v>3812</v>
      </c>
      <c r="D725" s="2961">
        <v>802</v>
      </c>
      <c r="E725" s="2961" t="s">
        <v>3836</v>
      </c>
      <c r="F725" s="2961">
        <v>109.28</v>
      </c>
    </row>
    <row r="726" spans="1:6">
      <c r="A726" s="2961">
        <v>724</v>
      </c>
      <c r="B726" s="2961" t="s">
        <v>3812</v>
      </c>
      <c r="D726" s="2961">
        <v>803</v>
      </c>
      <c r="E726" s="2961" t="s">
        <v>3837</v>
      </c>
      <c r="F726" s="2961">
        <v>86.82</v>
      </c>
    </row>
    <row r="727" spans="1:6">
      <c r="A727" s="2961">
        <v>725</v>
      </c>
      <c r="B727" s="2961" t="s">
        <v>3812</v>
      </c>
      <c r="D727" s="2961">
        <v>804</v>
      </c>
      <c r="E727" s="2961" t="s">
        <v>3838</v>
      </c>
      <c r="F727" s="2961">
        <v>95.89</v>
      </c>
    </row>
    <row r="728" spans="1:6">
      <c r="A728" s="2961">
        <v>726</v>
      </c>
      <c r="B728" s="2961" t="s">
        <v>3812</v>
      </c>
      <c r="D728" s="2961">
        <v>901</v>
      </c>
      <c r="E728" s="2961" t="s">
        <v>3839</v>
      </c>
      <c r="F728" s="2961">
        <v>90.93</v>
      </c>
    </row>
    <row r="729" spans="1:6">
      <c r="A729" s="2961">
        <v>727</v>
      </c>
      <c r="B729" s="2961" t="s">
        <v>3812</v>
      </c>
      <c r="D729" s="2961">
        <v>902</v>
      </c>
      <c r="E729" s="2961" t="s">
        <v>3840</v>
      </c>
      <c r="F729" s="2961">
        <v>109.28</v>
      </c>
    </row>
    <row r="730" spans="1:6">
      <c r="A730" s="2961">
        <v>728</v>
      </c>
      <c r="B730" s="2961" t="s">
        <v>3812</v>
      </c>
      <c r="D730" s="2961">
        <v>903</v>
      </c>
      <c r="E730" s="2961" t="s">
        <v>3841</v>
      </c>
      <c r="F730" s="2961">
        <v>86.82</v>
      </c>
    </row>
    <row r="731" spans="1:6">
      <c r="A731" s="2961">
        <v>729</v>
      </c>
      <c r="B731" s="2961" t="s">
        <v>3812</v>
      </c>
      <c r="D731" s="2961">
        <v>904</v>
      </c>
      <c r="E731" s="2961" t="s">
        <v>3842</v>
      </c>
      <c r="F731" s="2961">
        <v>95.89</v>
      </c>
    </row>
    <row r="732" spans="1:6">
      <c r="A732" s="2961">
        <v>730</v>
      </c>
      <c r="B732" s="2961" t="s">
        <v>3812</v>
      </c>
      <c r="D732" s="2961">
        <v>1001</v>
      </c>
      <c r="E732" s="2961" t="s">
        <v>3843</v>
      </c>
      <c r="F732" s="2961">
        <v>90.93</v>
      </c>
    </row>
    <row r="733" spans="1:6">
      <c r="A733" s="2961">
        <v>731</v>
      </c>
      <c r="B733" s="2961" t="s">
        <v>3812</v>
      </c>
      <c r="D733" s="2961">
        <v>1002</v>
      </c>
      <c r="E733" s="2961" t="s">
        <v>3844</v>
      </c>
      <c r="F733" s="2961">
        <v>109.28</v>
      </c>
    </row>
    <row r="734" spans="1:6">
      <c r="A734" s="2961">
        <v>732</v>
      </c>
      <c r="B734" s="2961" t="s">
        <v>3812</v>
      </c>
      <c r="D734" s="2961">
        <v>1003</v>
      </c>
      <c r="E734" s="2961" t="s">
        <v>3845</v>
      </c>
      <c r="F734" s="2961">
        <v>86.82</v>
      </c>
    </row>
    <row r="735" spans="1:6">
      <c r="A735" s="2961">
        <v>733</v>
      </c>
      <c r="B735" s="2961" t="s">
        <v>3812</v>
      </c>
      <c r="D735" s="2961">
        <v>1004</v>
      </c>
      <c r="E735" s="2961" t="s">
        <v>3846</v>
      </c>
      <c r="F735" s="2961">
        <v>95.89</v>
      </c>
    </row>
    <row r="736" spans="1:6">
      <c r="A736" s="2961">
        <v>734</v>
      </c>
      <c r="B736" s="2961" t="s">
        <v>3812</v>
      </c>
      <c r="D736" s="2961">
        <v>1101</v>
      </c>
      <c r="E736" s="2961" t="s">
        <v>3847</v>
      </c>
      <c r="F736" s="2961">
        <v>90.93</v>
      </c>
    </row>
    <row r="737" spans="1:6">
      <c r="A737" s="2961">
        <v>735</v>
      </c>
      <c r="B737" s="2961" t="s">
        <v>3812</v>
      </c>
      <c r="D737" s="2961">
        <v>1102</v>
      </c>
      <c r="E737" s="2961" t="s">
        <v>3848</v>
      </c>
      <c r="F737" s="2961">
        <v>109.28</v>
      </c>
    </row>
    <row r="738" spans="1:6">
      <c r="A738" s="2961">
        <v>736</v>
      </c>
      <c r="B738" s="2961" t="s">
        <v>3812</v>
      </c>
      <c r="D738" s="2961">
        <v>1103</v>
      </c>
      <c r="E738" s="2961" t="s">
        <v>3849</v>
      </c>
      <c r="F738" s="2961">
        <v>86.82</v>
      </c>
    </row>
    <row r="739" spans="1:6">
      <c r="A739" s="2961">
        <v>737</v>
      </c>
      <c r="B739" s="2961" t="s">
        <v>3812</v>
      </c>
      <c r="D739" s="2961">
        <v>1104</v>
      </c>
      <c r="E739" s="2961" t="s">
        <v>3850</v>
      </c>
      <c r="F739" s="2961">
        <v>95.89</v>
      </c>
    </row>
    <row r="740" spans="1:6">
      <c r="A740" s="2961">
        <v>738</v>
      </c>
      <c r="B740" s="2961" t="s">
        <v>3812</v>
      </c>
      <c r="D740" s="2961">
        <v>1201</v>
      </c>
      <c r="E740" s="2961" t="s">
        <v>3851</v>
      </c>
      <c r="F740" s="2961">
        <v>90.93</v>
      </c>
    </row>
    <row r="741" spans="1:6">
      <c r="A741" s="2961">
        <v>739</v>
      </c>
      <c r="B741" s="2961" t="s">
        <v>3812</v>
      </c>
      <c r="D741" s="2961">
        <v>1202</v>
      </c>
      <c r="E741" s="2961" t="s">
        <v>3852</v>
      </c>
      <c r="F741" s="2961">
        <v>109.28</v>
      </c>
    </row>
    <row r="742" spans="1:6">
      <c r="A742" s="2961">
        <v>740</v>
      </c>
      <c r="B742" s="2961" t="s">
        <v>3812</v>
      </c>
      <c r="D742" s="2961">
        <v>1203</v>
      </c>
      <c r="E742" s="2961" t="s">
        <v>3853</v>
      </c>
      <c r="F742" s="2961">
        <v>86.82</v>
      </c>
    </row>
    <row r="743" spans="1:6">
      <c r="A743" s="2961">
        <v>741</v>
      </c>
      <c r="B743" s="2961" t="s">
        <v>3812</v>
      </c>
      <c r="D743" s="2961">
        <v>1204</v>
      </c>
      <c r="E743" s="2961" t="s">
        <v>3854</v>
      </c>
      <c r="F743" s="2961">
        <v>95.89</v>
      </c>
    </row>
    <row r="744" spans="1:6">
      <c r="A744" s="2961">
        <v>742</v>
      </c>
      <c r="B744" s="2961" t="s">
        <v>3812</v>
      </c>
      <c r="D744" s="2961">
        <v>1301</v>
      </c>
      <c r="E744" s="2961" t="s">
        <v>3855</v>
      </c>
      <c r="F744" s="2961">
        <v>90.93</v>
      </c>
    </row>
    <row r="745" spans="1:6">
      <c r="A745" s="2961">
        <v>743</v>
      </c>
      <c r="B745" s="2961" t="s">
        <v>3812</v>
      </c>
      <c r="D745" s="2961">
        <v>1302</v>
      </c>
      <c r="E745" s="2961" t="s">
        <v>3856</v>
      </c>
      <c r="F745" s="2961">
        <v>109.28</v>
      </c>
    </row>
    <row r="746" spans="1:6">
      <c r="A746" s="2961">
        <v>744</v>
      </c>
      <c r="B746" s="2961" t="s">
        <v>3812</v>
      </c>
      <c r="D746" s="2961">
        <v>1303</v>
      </c>
      <c r="E746" s="2961" t="s">
        <v>3857</v>
      </c>
      <c r="F746" s="2961">
        <v>86.82</v>
      </c>
    </row>
    <row r="747" spans="1:6">
      <c r="A747" s="2961">
        <v>745</v>
      </c>
      <c r="B747" s="2961" t="s">
        <v>3812</v>
      </c>
      <c r="D747" s="2961">
        <v>1304</v>
      </c>
      <c r="E747" s="2961" t="s">
        <v>3858</v>
      </c>
      <c r="F747" s="2961">
        <v>95.89</v>
      </c>
    </row>
    <row r="748" spans="1:6">
      <c r="A748" s="2961">
        <v>746</v>
      </c>
      <c r="B748" s="2961" t="s">
        <v>3812</v>
      </c>
      <c r="D748" s="2961">
        <v>1401</v>
      </c>
      <c r="E748" s="2961" t="s">
        <v>3859</v>
      </c>
      <c r="F748" s="2961">
        <v>90.93</v>
      </c>
    </row>
    <row r="749" spans="1:6">
      <c r="A749" s="2961">
        <v>747</v>
      </c>
      <c r="B749" s="2961" t="s">
        <v>3812</v>
      </c>
      <c r="D749" s="2961">
        <v>1402</v>
      </c>
      <c r="E749" s="2961" t="s">
        <v>3860</v>
      </c>
      <c r="F749" s="2961">
        <v>109.28</v>
      </c>
    </row>
    <row r="750" spans="1:6">
      <c r="A750" s="2961">
        <v>748</v>
      </c>
      <c r="B750" s="2961" t="s">
        <v>3812</v>
      </c>
      <c r="D750" s="2961">
        <v>1403</v>
      </c>
      <c r="E750" s="2961" t="s">
        <v>3861</v>
      </c>
      <c r="F750" s="2961">
        <v>86.82</v>
      </c>
    </row>
    <row r="751" spans="1:6">
      <c r="A751" s="2961">
        <v>749</v>
      </c>
      <c r="B751" s="2961" t="s">
        <v>3812</v>
      </c>
      <c r="D751" s="2961">
        <v>1404</v>
      </c>
      <c r="E751" s="2961" t="s">
        <v>3862</v>
      </c>
      <c r="F751" s="2961">
        <v>95.89</v>
      </c>
    </row>
    <row r="752" spans="1:6">
      <c r="A752" s="2961">
        <v>750</v>
      </c>
      <c r="B752" s="2961" t="s">
        <v>3812</v>
      </c>
      <c r="D752" s="2961">
        <v>1501</v>
      </c>
      <c r="E752" s="2961" t="s">
        <v>3863</v>
      </c>
      <c r="F752" s="2961">
        <v>90.93</v>
      </c>
    </row>
    <row r="753" spans="1:6">
      <c r="A753" s="2961">
        <v>751</v>
      </c>
      <c r="B753" s="2961" t="s">
        <v>3812</v>
      </c>
      <c r="D753" s="2961">
        <v>1502</v>
      </c>
      <c r="E753" s="2961" t="s">
        <v>3864</v>
      </c>
      <c r="F753" s="2961">
        <v>109.28</v>
      </c>
    </row>
    <row r="754" spans="1:6">
      <c r="A754" s="2961">
        <v>752</v>
      </c>
      <c r="B754" s="2961" t="s">
        <v>3812</v>
      </c>
      <c r="D754" s="2961">
        <v>1503</v>
      </c>
      <c r="E754" s="2961" t="s">
        <v>3865</v>
      </c>
      <c r="F754" s="2961">
        <v>86.82</v>
      </c>
    </row>
    <row r="755" spans="1:6">
      <c r="A755" s="2961">
        <v>753</v>
      </c>
      <c r="B755" s="2961" t="s">
        <v>3812</v>
      </c>
      <c r="D755" s="2961">
        <v>1504</v>
      </c>
      <c r="E755" s="2961" t="s">
        <v>3866</v>
      </c>
      <c r="F755" s="2961">
        <v>95.89</v>
      </c>
    </row>
    <row r="756" spans="1:6">
      <c r="A756" s="2961">
        <v>754</v>
      </c>
      <c r="B756" s="2961" t="s">
        <v>3812</v>
      </c>
      <c r="D756" s="2961">
        <v>1601</v>
      </c>
      <c r="E756" s="2961" t="s">
        <v>3867</v>
      </c>
      <c r="F756" s="2961">
        <v>90.93</v>
      </c>
    </row>
    <row r="757" spans="1:6">
      <c r="A757" s="2961">
        <v>755</v>
      </c>
      <c r="B757" s="2961" t="s">
        <v>3812</v>
      </c>
      <c r="D757" s="2961">
        <v>1602</v>
      </c>
      <c r="E757" s="2961" t="s">
        <v>3868</v>
      </c>
      <c r="F757" s="2961">
        <v>109.28</v>
      </c>
    </row>
    <row r="758" spans="1:6">
      <c r="A758" s="2961">
        <v>756</v>
      </c>
      <c r="B758" s="2961" t="s">
        <v>3812</v>
      </c>
      <c r="D758" s="2961">
        <v>1603</v>
      </c>
      <c r="E758" s="2961" t="s">
        <v>3869</v>
      </c>
      <c r="F758" s="2961">
        <v>86.82</v>
      </c>
    </row>
    <row r="759" spans="1:6">
      <c r="A759" s="2961">
        <v>757</v>
      </c>
      <c r="B759" s="2961" t="s">
        <v>3812</v>
      </c>
      <c r="D759" s="2961">
        <v>1604</v>
      </c>
      <c r="E759" s="2961" t="s">
        <v>3870</v>
      </c>
      <c r="F759" s="2961">
        <v>95.89</v>
      </c>
    </row>
    <row r="760" spans="1:6">
      <c r="A760" s="2961">
        <v>758</v>
      </c>
      <c r="B760" s="2961" t="s">
        <v>3812</v>
      </c>
      <c r="D760" s="2961">
        <v>1701</v>
      </c>
      <c r="E760" s="2961" t="s">
        <v>3871</v>
      </c>
      <c r="F760" s="2961">
        <v>90.93</v>
      </c>
    </row>
    <row r="761" spans="1:6">
      <c r="A761" s="2961">
        <v>759</v>
      </c>
      <c r="B761" s="2961" t="s">
        <v>3812</v>
      </c>
      <c r="D761" s="2961">
        <v>1702</v>
      </c>
      <c r="E761" s="2961" t="s">
        <v>3872</v>
      </c>
      <c r="F761" s="2961">
        <v>109.28</v>
      </c>
    </row>
    <row r="762" spans="1:6">
      <c r="A762" s="2961">
        <v>760</v>
      </c>
      <c r="B762" s="2961" t="s">
        <v>3812</v>
      </c>
      <c r="D762" s="2961">
        <v>1703</v>
      </c>
      <c r="E762" s="2961" t="s">
        <v>3873</v>
      </c>
      <c r="F762" s="2961">
        <v>86.82</v>
      </c>
    </row>
    <row r="763" spans="1:6">
      <c r="A763" s="2961">
        <v>761</v>
      </c>
      <c r="B763" s="2961" t="s">
        <v>3812</v>
      </c>
      <c r="D763" s="2961">
        <v>1704</v>
      </c>
      <c r="E763" s="2961" t="s">
        <v>3874</v>
      </c>
      <c r="F763" s="2961">
        <v>95.89</v>
      </c>
    </row>
    <row r="764" spans="1:6">
      <c r="A764" s="2961">
        <v>762</v>
      </c>
      <c r="B764" s="2961" t="s">
        <v>3812</v>
      </c>
      <c r="D764" s="2961">
        <v>1801</v>
      </c>
      <c r="E764" s="2961" t="s">
        <v>3875</v>
      </c>
      <c r="F764" s="2961">
        <v>90.93</v>
      </c>
    </row>
    <row r="765" spans="1:6">
      <c r="A765" s="2961">
        <v>763</v>
      </c>
      <c r="B765" s="2961" t="s">
        <v>3812</v>
      </c>
      <c r="D765" s="2961">
        <v>1802</v>
      </c>
      <c r="E765" s="2961" t="s">
        <v>3876</v>
      </c>
      <c r="F765" s="2961">
        <v>109.28</v>
      </c>
    </row>
    <row r="766" spans="1:6">
      <c r="A766" s="2961">
        <v>764</v>
      </c>
      <c r="B766" s="2961" t="s">
        <v>3812</v>
      </c>
      <c r="D766" s="2961">
        <v>1803</v>
      </c>
      <c r="E766" s="2961" t="s">
        <v>3877</v>
      </c>
      <c r="F766" s="2961">
        <v>86.82</v>
      </c>
    </row>
    <row r="767" spans="1:6">
      <c r="A767" s="2961">
        <v>765</v>
      </c>
      <c r="B767" s="2961" t="s">
        <v>3812</v>
      </c>
      <c r="D767" s="2961">
        <v>1804</v>
      </c>
      <c r="E767" s="2961" t="s">
        <v>3878</v>
      </c>
      <c r="F767" s="2961">
        <v>95.89</v>
      </c>
    </row>
    <row r="768" spans="1:6">
      <c r="A768" s="2961">
        <v>766</v>
      </c>
      <c r="B768" s="2961" t="s">
        <v>3812</v>
      </c>
      <c r="D768" s="2961">
        <v>1901</v>
      </c>
      <c r="E768" s="2961" t="s">
        <v>3879</v>
      </c>
      <c r="F768" s="2961">
        <v>90.93</v>
      </c>
    </row>
    <row r="769" spans="1:6">
      <c r="A769" s="2961">
        <v>767</v>
      </c>
      <c r="B769" s="2961" t="s">
        <v>3812</v>
      </c>
      <c r="D769" s="2961">
        <v>1902</v>
      </c>
      <c r="E769" s="2961" t="s">
        <v>3880</v>
      </c>
      <c r="F769" s="2961">
        <v>109.28</v>
      </c>
    </row>
    <row r="770" spans="1:6">
      <c r="A770" s="2961">
        <v>768</v>
      </c>
      <c r="B770" s="2961" t="s">
        <v>3812</v>
      </c>
      <c r="D770" s="2961">
        <v>1903</v>
      </c>
      <c r="E770" s="2961" t="s">
        <v>3881</v>
      </c>
      <c r="F770" s="2961">
        <v>86.82</v>
      </c>
    </row>
    <row r="771" spans="1:6">
      <c r="A771" s="2961">
        <v>769</v>
      </c>
      <c r="B771" s="2961" t="s">
        <v>3812</v>
      </c>
      <c r="D771" s="2961">
        <v>1904</v>
      </c>
      <c r="E771" s="2961" t="s">
        <v>3882</v>
      </c>
      <c r="F771" s="2961">
        <v>95.89</v>
      </c>
    </row>
    <row r="772" spans="1:6">
      <c r="A772" s="2961">
        <v>770</v>
      </c>
      <c r="B772" s="2961" t="s">
        <v>3812</v>
      </c>
      <c r="D772" s="2961">
        <v>2001</v>
      </c>
      <c r="E772" s="2961" t="s">
        <v>3883</v>
      </c>
      <c r="F772" s="2961">
        <v>90.93</v>
      </c>
    </row>
    <row r="773" spans="1:6">
      <c r="A773" s="2961">
        <v>771</v>
      </c>
      <c r="B773" s="2961" t="s">
        <v>3812</v>
      </c>
      <c r="D773" s="2961">
        <v>2002</v>
      </c>
      <c r="E773" s="2961" t="s">
        <v>3884</v>
      </c>
      <c r="F773" s="2961">
        <v>109.28</v>
      </c>
    </row>
    <row r="774" spans="1:6">
      <c r="A774" s="2961">
        <v>772</v>
      </c>
      <c r="B774" s="2961" t="s">
        <v>3812</v>
      </c>
      <c r="D774" s="2961">
        <v>2003</v>
      </c>
      <c r="E774" s="2961" t="s">
        <v>3885</v>
      </c>
      <c r="F774" s="2961">
        <v>86.82</v>
      </c>
    </row>
    <row r="775" spans="1:6">
      <c r="A775" s="2961">
        <v>773</v>
      </c>
      <c r="B775" s="2961" t="s">
        <v>3812</v>
      </c>
      <c r="D775" s="2961">
        <v>2004</v>
      </c>
      <c r="E775" s="2961" t="s">
        <v>3886</v>
      </c>
      <c r="F775" s="2961">
        <v>95.89</v>
      </c>
    </row>
    <row r="776" spans="1:6">
      <c r="A776" s="2961">
        <v>774</v>
      </c>
      <c r="B776" s="2961" t="s">
        <v>3812</v>
      </c>
      <c r="D776" s="2961">
        <v>2101</v>
      </c>
      <c r="E776" s="2961" t="s">
        <v>3887</v>
      </c>
      <c r="F776" s="2961">
        <v>90.93</v>
      </c>
    </row>
    <row r="777" spans="1:6">
      <c r="A777" s="2961">
        <v>775</v>
      </c>
      <c r="B777" s="2961" t="s">
        <v>3812</v>
      </c>
      <c r="D777" s="2961">
        <v>2102</v>
      </c>
      <c r="E777" s="2961" t="s">
        <v>3888</v>
      </c>
      <c r="F777" s="2961">
        <v>109.28</v>
      </c>
    </row>
    <row r="778" spans="1:6">
      <c r="A778" s="2961">
        <v>776</v>
      </c>
      <c r="B778" s="2961" t="s">
        <v>3812</v>
      </c>
      <c r="D778" s="2961">
        <v>2103</v>
      </c>
      <c r="E778" s="2961" t="s">
        <v>3889</v>
      </c>
      <c r="F778" s="2961">
        <v>86.82</v>
      </c>
    </row>
    <row r="779" spans="1:6">
      <c r="A779" s="2961">
        <v>777</v>
      </c>
      <c r="B779" s="2961" t="s">
        <v>3812</v>
      </c>
      <c r="D779" s="2961">
        <v>2104</v>
      </c>
      <c r="E779" s="2961" t="s">
        <v>3890</v>
      </c>
      <c r="F779" s="2961">
        <v>95.89</v>
      </c>
    </row>
    <row r="780" spans="1:6">
      <c r="A780" s="2961">
        <v>778</v>
      </c>
      <c r="B780" s="2961" t="s">
        <v>3812</v>
      </c>
      <c r="D780" s="2961">
        <v>2201</v>
      </c>
      <c r="E780" s="2961" t="s">
        <v>3891</v>
      </c>
      <c r="F780" s="2961">
        <v>90.93</v>
      </c>
    </row>
    <row r="781" spans="1:6">
      <c r="A781" s="2961">
        <v>779</v>
      </c>
      <c r="B781" s="2961" t="s">
        <v>3812</v>
      </c>
      <c r="D781" s="2961">
        <v>2202</v>
      </c>
      <c r="E781" s="2961" t="s">
        <v>3892</v>
      </c>
      <c r="F781" s="2961">
        <v>109.28</v>
      </c>
    </row>
    <row r="782" spans="1:6">
      <c r="A782" s="2961">
        <v>780</v>
      </c>
      <c r="B782" s="2961" t="s">
        <v>3812</v>
      </c>
      <c r="D782" s="2961">
        <v>2203</v>
      </c>
      <c r="E782" s="2961" t="s">
        <v>3893</v>
      </c>
      <c r="F782" s="2961">
        <v>86.82</v>
      </c>
    </row>
    <row r="783" spans="1:6">
      <c r="A783" s="2961">
        <v>781</v>
      </c>
      <c r="B783" s="2961" t="s">
        <v>3812</v>
      </c>
      <c r="D783" s="2961">
        <v>2204</v>
      </c>
      <c r="E783" s="2961" t="s">
        <v>3894</v>
      </c>
      <c r="F783" s="2961">
        <v>95.89</v>
      </c>
    </row>
    <row r="784" spans="1:6">
      <c r="A784" s="2961">
        <v>782</v>
      </c>
      <c r="B784" s="2961" t="s">
        <v>3812</v>
      </c>
      <c r="D784" s="2961">
        <v>2301</v>
      </c>
      <c r="E784" s="2961" t="s">
        <v>3895</v>
      </c>
      <c r="F784" s="2961">
        <v>90.93</v>
      </c>
    </row>
    <row r="785" spans="1:6">
      <c r="A785" s="2961">
        <v>783</v>
      </c>
      <c r="B785" s="2961" t="s">
        <v>3812</v>
      </c>
      <c r="D785" s="2961">
        <v>2302</v>
      </c>
      <c r="E785" s="2961" t="s">
        <v>3896</v>
      </c>
      <c r="F785" s="2961">
        <v>109.28</v>
      </c>
    </row>
    <row r="786" spans="1:6">
      <c r="A786" s="2961">
        <v>784</v>
      </c>
      <c r="B786" s="2961" t="s">
        <v>3812</v>
      </c>
      <c r="D786" s="2961">
        <v>2303</v>
      </c>
      <c r="E786" s="2961" t="s">
        <v>3897</v>
      </c>
      <c r="F786" s="2961">
        <v>86.82</v>
      </c>
    </row>
    <row r="787" spans="1:6">
      <c r="A787" s="2961">
        <v>785</v>
      </c>
      <c r="B787" s="2961" t="s">
        <v>3812</v>
      </c>
      <c r="D787" s="2961">
        <v>2304</v>
      </c>
      <c r="E787" s="2961" t="s">
        <v>3898</v>
      </c>
      <c r="F787" s="2961">
        <v>95.89</v>
      </c>
    </row>
    <row r="788" spans="1:6">
      <c r="A788" s="2961">
        <v>786</v>
      </c>
      <c r="B788" s="2961" t="s">
        <v>3899</v>
      </c>
      <c r="C788" s="2961" t="s">
        <v>3900</v>
      </c>
      <c r="D788" s="2961">
        <v>207</v>
      </c>
      <c r="E788" s="2961" t="s">
        <v>3901</v>
      </c>
      <c r="F788" s="2961">
        <v>35.35</v>
      </c>
    </row>
    <row r="789" spans="1:6">
      <c r="A789" s="2961">
        <v>787</v>
      </c>
      <c r="B789" s="2961" t="s">
        <v>3899</v>
      </c>
      <c r="C789" s="2961" t="s">
        <v>3900</v>
      </c>
      <c r="D789" s="2961">
        <v>303</v>
      </c>
      <c r="E789" s="2961" t="s">
        <v>3902</v>
      </c>
      <c r="F789" s="2961">
        <v>102.91</v>
      </c>
    </row>
    <row r="790" spans="1:6">
      <c r="A790" s="2961">
        <v>788</v>
      </c>
      <c r="B790" s="2961" t="s">
        <v>3899</v>
      </c>
      <c r="C790" s="2961" t="s">
        <v>3900</v>
      </c>
      <c r="D790" s="2961">
        <v>304</v>
      </c>
      <c r="E790" s="2961" t="s">
        <v>3903</v>
      </c>
      <c r="F790" s="2961">
        <v>102.92</v>
      </c>
    </row>
    <row r="791" spans="1:6">
      <c r="A791" s="2961">
        <v>789</v>
      </c>
      <c r="B791" s="2961" t="s">
        <v>3899</v>
      </c>
      <c r="C791" s="2961" t="s">
        <v>3900</v>
      </c>
      <c r="D791" s="2961">
        <v>305</v>
      </c>
      <c r="E791" s="2961" t="s">
        <v>3904</v>
      </c>
      <c r="F791" s="2961">
        <v>58.44</v>
      </c>
    </row>
    <row r="792" spans="1:6">
      <c r="A792" s="2961">
        <v>790</v>
      </c>
      <c r="B792" s="2961" t="s">
        <v>3899</v>
      </c>
      <c r="C792" s="2961" t="s">
        <v>3900</v>
      </c>
      <c r="D792" s="2961">
        <v>307</v>
      </c>
      <c r="E792" s="2961" t="s">
        <v>3905</v>
      </c>
      <c r="F792" s="2961">
        <v>35.35</v>
      </c>
    </row>
    <row r="793" spans="1:6">
      <c r="A793" s="2961">
        <v>791</v>
      </c>
      <c r="B793" s="2961" t="s">
        <v>3899</v>
      </c>
      <c r="C793" s="2961" t="s">
        <v>3900</v>
      </c>
      <c r="D793" s="2961">
        <v>402</v>
      </c>
      <c r="E793" s="2961" t="s">
        <v>3906</v>
      </c>
      <c r="F793" s="2961">
        <v>58.19</v>
      </c>
    </row>
    <row r="794" spans="1:6">
      <c r="A794" s="2961">
        <v>792</v>
      </c>
      <c r="B794" s="2961" t="s">
        <v>3899</v>
      </c>
      <c r="C794" s="2961" t="s">
        <v>3900</v>
      </c>
      <c r="D794" s="2961">
        <v>403</v>
      </c>
      <c r="E794" s="2961" t="s">
        <v>3907</v>
      </c>
      <c r="F794" s="2961">
        <v>102.91</v>
      </c>
    </row>
    <row r="795" spans="1:6">
      <c r="A795" s="2961">
        <v>793</v>
      </c>
      <c r="B795" s="2961" t="s">
        <v>3899</v>
      </c>
      <c r="C795" s="2961" t="s">
        <v>3900</v>
      </c>
      <c r="D795" s="2961">
        <v>404</v>
      </c>
      <c r="E795" s="2961" t="s">
        <v>3908</v>
      </c>
      <c r="F795" s="2961">
        <v>102.92</v>
      </c>
    </row>
    <row r="796" spans="1:6">
      <c r="A796" s="2961">
        <v>794</v>
      </c>
      <c r="B796" s="2961" t="s">
        <v>3899</v>
      </c>
      <c r="C796" s="2961" t="s">
        <v>3900</v>
      </c>
      <c r="D796" s="2961">
        <v>405</v>
      </c>
      <c r="E796" s="2961" t="s">
        <v>3909</v>
      </c>
      <c r="F796" s="2961">
        <v>58.44</v>
      </c>
    </row>
    <row r="797" spans="1:6">
      <c r="A797" s="2961">
        <v>795</v>
      </c>
      <c r="B797" s="2961" t="s">
        <v>3899</v>
      </c>
      <c r="C797" s="2961" t="s">
        <v>3900</v>
      </c>
      <c r="D797" s="2961">
        <v>504</v>
      </c>
      <c r="E797" s="2961" t="s">
        <v>3910</v>
      </c>
      <c r="F797" s="2961">
        <v>102.92</v>
      </c>
    </row>
    <row r="798" spans="1:6">
      <c r="A798" s="2961">
        <v>796</v>
      </c>
      <c r="B798" s="2961" t="s">
        <v>3899</v>
      </c>
      <c r="C798" s="2961" t="s">
        <v>3900</v>
      </c>
      <c r="D798" s="2961">
        <v>505</v>
      </c>
      <c r="E798" s="2961" t="s">
        <v>3911</v>
      </c>
      <c r="F798" s="2961">
        <v>58.44</v>
      </c>
    </row>
    <row r="799" spans="1:6">
      <c r="A799" s="2961">
        <v>797</v>
      </c>
      <c r="B799" s="2961" t="s">
        <v>3899</v>
      </c>
      <c r="C799" s="2961" t="s">
        <v>3900</v>
      </c>
      <c r="D799" s="2961">
        <v>602</v>
      </c>
      <c r="E799" s="2961" t="s">
        <v>3912</v>
      </c>
      <c r="F799" s="2961">
        <v>58.19</v>
      </c>
    </row>
    <row r="800" spans="1:6">
      <c r="A800" s="2961">
        <v>798</v>
      </c>
      <c r="B800" s="2961" t="s">
        <v>3899</v>
      </c>
      <c r="C800" s="2961" t="s">
        <v>3900</v>
      </c>
      <c r="D800" s="2961">
        <v>604</v>
      </c>
      <c r="E800" s="2961" t="s">
        <v>3913</v>
      </c>
      <c r="F800" s="2961">
        <v>102.92</v>
      </c>
    </row>
    <row r="801" spans="1:6">
      <c r="A801" s="2961">
        <v>799</v>
      </c>
      <c r="B801" s="2961" t="s">
        <v>3899</v>
      </c>
      <c r="C801" s="2961" t="s">
        <v>3900</v>
      </c>
      <c r="D801" s="2961">
        <v>704</v>
      </c>
      <c r="E801" s="2961" t="s">
        <v>3914</v>
      </c>
      <c r="F801" s="2961">
        <v>102.92</v>
      </c>
    </row>
    <row r="802" spans="1:6">
      <c r="A802" s="2961">
        <v>800</v>
      </c>
      <c r="B802" s="2961" t="s">
        <v>3899</v>
      </c>
      <c r="C802" s="2961" t="s">
        <v>3900</v>
      </c>
      <c r="D802" s="2961">
        <v>705</v>
      </c>
      <c r="E802" s="2961" t="s">
        <v>3915</v>
      </c>
      <c r="F802" s="2961">
        <v>58.44</v>
      </c>
    </row>
    <row r="803" spans="1:6">
      <c r="A803" s="2961">
        <v>801</v>
      </c>
      <c r="B803" s="2961" t="s">
        <v>3899</v>
      </c>
      <c r="C803" s="2961" t="s">
        <v>3900</v>
      </c>
      <c r="D803" s="2961">
        <v>707</v>
      </c>
      <c r="E803" s="2961" t="s">
        <v>3916</v>
      </c>
      <c r="F803" s="2961">
        <v>35.35</v>
      </c>
    </row>
    <row r="804" spans="1:6">
      <c r="A804" s="2961">
        <v>802</v>
      </c>
      <c r="B804" s="2961" t="s">
        <v>3899</v>
      </c>
      <c r="C804" s="2961" t="s">
        <v>3900</v>
      </c>
      <c r="D804" s="2961">
        <v>804</v>
      </c>
      <c r="E804" s="2961" t="s">
        <v>3917</v>
      </c>
      <c r="F804" s="2961">
        <v>102.92</v>
      </c>
    </row>
    <row r="805" spans="1:6">
      <c r="A805" s="2961">
        <v>803</v>
      </c>
      <c r="B805" s="2961" t="s">
        <v>3899</v>
      </c>
      <c r="C805" s="2961" t="s">
        <v>3900</v>
      </c>
      <c r="D805" s="2961">
        <v>805</v>
      </c>
      <c r="E805" s="2961" t="s">
        <v>3918</v>
      </c>
      <c r="F805" s="2961">
        <v>58.44</v>
      </c>
    </row>
    <row r="806" spans="1:6">
      <c r="A806" s="2961">
        <v>804</v>
      </c>
      <c r="B806" s="2961" t="s">
        <v>3899</v>
      </c>
      <c r="C806" s="2961" t="s">
        <v>3900</v>
      </c>
      <c r="D806" s="2961">
        <v>807</v>
      </c>
      <c r="E806" s="2961" t="s">
        <v>3919</v>
      </c>
      <c r="F806" s="2961">
        <v>35.35</v>
      </c>
    </row>
    <row r="807" spans="1:6">
      <c r="A807" s="2961">
        <v>805</v>
      </c>
      <c r="B807" s="2961" t="s">
        <v>3899</v>
      </c>
      <c r="C807" s="2961" t="s">
        <v>3900</v>
      </c>
      <c r="D807" s="2961">
        <v>904</v>
      </c>
      <c r="E807" s="2961" t="s">
        <v>3920</v>
      </c>
      <c r="F807" s="2961">
        <v>102.92</v>
      </c>
    </row>
    <row r="808" spans="1:6">
      <c r="A808" s="2961">
        <v>806</v>
      </c>
      <c r="B808" s="2961" t="s">
        <v>3899</v>
      </c>
      <c r="C808" s="2961" t="s">
        <v>3900</v>
      </c>
      <c r="D808" s="2961">
        <v>905</v>
      </c>
      <c r="E808" s="2961" t="s">
        <v>3921</v>
      </c>
      <c r="F808" s="2961">
        <v>58.44</v>
      </c>
    </row>
    <row r="809" spans="1:6">
      <c r="A809" s="2961">
        <v>807</v>
      </c>
      <c r="B809" s="2961" t="s">
        <v>3899</v>
      </c>
      <c r="C809" s="2961" t="s">
        <v>3900</v>
      </c>
      <c r="D809" s="2961">
        <v>1004</v>
      </c>
      <c r="E809" s="2961" t="s">
        <v>3922</v>
      </c>
      <c r="F809" s="2961">
        <v>102.92</v>
      </c>
    </row>
    <row r="810" spans="1:6">
      <c r="A810" s="2961">
        <v>808</v>
      </c>
      <c r="B810" s="2961" t="s">
        <v>3899</v>
      </c>
      <c r="C810" s="2961" t="s">
        <v>3900</v>
      </c>
      <c r="D810" s="2961">
        <v>1007</v>
      </c>
      <c r="E810" s="2961" t="s">
        <v>3923</v>
      </c>
      <c r="F810" s="2961">
        <v>35.35</v>
      </c>
    </row>
    <row r="811" spans="1:6">
      <c r="A811" s="2961">
        <v>809</v>
      </c>
      <c r="B811" s="2961" t="s">
        <v>3899</v>
      </c>
      <c r="C811" s="2961" t="s">
        <v>3900</v>
      </c>
      <c r="D811" s="2961">
        <v>1104</v>
      </c>
      <c r="E811" s="2961" t="s">
        <v>3924</v>
      </c>
      <c r="F811" s="2961">
        <v>102.92</v>
      </c>
    </row>
    <row r="812" spans="1:6">
      <c r="A812" s="2961">
        <v>810</v>
      </c>
      <c r="B812" s="2961" t="s">
        <v>3899</v>
      </c>
      <c r="C812" s="2961" t="s">
        <v>3900</v>
      </c>
      <c r="D812" s="2961">
        <v>1203</v>
      </c>
      <c r="E812" s="2961" t="s">
        <v>3925</v>
      </c>
      <c r="F812" s="2961">
        <v>102.91</v>
      </c>
    </row>
    <row r="813" spans="1:6">
      <c r="A813" s="2961">
        <v>811</v>
      </c>
      <c r="B813" s="2961" t="s">
        <v>3899</v>
      </c>
      <c r="C813" s="2961" t="s">
        <v>3900</v>
      </c>
      <c r="D813" s="2961">
        <v>1204</v>
      </c>
      <c r="E813" s="2961" t="s">
        <v>3926</v>
      </c>
      <c r="F813" s="2961">
        <v>102.92</v>
      </c>
    </row>
    <row r="814" spans="1:6">
      <c r="A814" s="2961">
        <v>812</v>
      </c>
      <c r="B814" s="2961" t="s">
        <v>3899</v>
      </c>
      <c r="C814" s="2961" t="s">
        <v>3900</v>
      </c>
      <c r="D814" s="2961">
        <v>1205</v>
      </c>
      <c r="E814" s="2961" t="s">
        <v>3927</v>
      </c>
      <c r="F814" s="2961">
        <v>58.44</v>
      </c>
    </row>
    <row r="815" spans="1:6">
      <c r="A815" s="2961">
        <v>813</v>
      </c>
      <c r="B815" s="2961" t="s">
        <v>3899</v>
      </c>
      <c r="C815" s="2961" t="s">
        <v>3900</v>
      </c>
      <c r="D815" s="2961">
        <v>1302</v>
      </c>
      <c r="E815" s="2961" t="s">
        <v>3928</v>
      </c>
      <c r="F815" s="2961">
        <v>58.19</v>
      </c>
    </row>
    <row r="816" spans="1:6">
      <c r="A816" s="2961">
        <v>814</v>
      </c>
      <c r="B816" s="2961" t="s">
        <v>3899</v>
      </c>
      <c r="C816" s="2961" t="s">
        <v>3900</v>
      </c>
      <c r="D816" s="2961">
        <v>1303</v>
      </c>
      <c r="E816" s="2961" t="s">
        <v>3929</v>
      </c>
      <c r="F816" s="2961">
        <v>102.91</v>
      </c>
    </row>
    <row r="817" spans="1:6">
      <c r="A817" s="2961">
        <v>815</v>
      </c>
      <c r="B817" s="2961" t="s">
        <v>3899</v>
      </c>
      <c r="C817" s="2961" t="s">
        <v>3900</v>
      </c>
      <c r="D817" s="2961">
        <v>1304</v>
      </c>
      <c r="E817" s="2961" t="s">
        <v>3930</v>
      </c>
      <c r="F817" s="2961">
        <v>102.92</v>
      </c>
    </row>
    <row r="818" spans="1:6">
      <c r="A818" s="2961">
        <v>816</v>
      </c>
      <c r="B818" s="2961" t="s">
        <v>3899</v>
      </c>
      <c r="C818" s="2961" t="s">
        <v>3900</v>
      </c>
      <c r="D818" s="2961">
        <v>1404</v>
      </c>
      <c r="E818" s="2961" t="s">
        <v>3931</v>
      </c>
      <c r="F818" s="2961">
        <v>102.92</v>
      </c>
    </row>
    <row r="819" spans="1:6">
      <c r="A819" s="2961">
        <v>817</v>
      </c>
      <c r="B819" s="2961" t="s">
        <v>3899</v>
      </c>
      <c r="C819" s="2961" t="s">
        <v>3900</v>
      </c>
      <c r="D819" s="2961">
        <v>1501</v>
      </c>
      <c r="E819" s="2961" t="s">
        <v>3932</v>
      </c>
      <c r="F819" s="2961">
        <v>51.39</v>
      </c>
    </row>
    <row r="820" spans="1:6">
      <c r="A820" s="2961">
        <v>818</v>
      </c>
      <c r="B820" s="2961" t="s">
        <v>3899</v>
      </c>
      <c r="C820" s="2961" t="s">
        <v>3900</v>
      </c>
      <c r="D820" s="2961">
        <v>1502</v>
      </c>
      <c r="E820" s="2961" t="s">
        <v>3933</v>
      </c>
      <c r="F820" s="2961">
        <v>58.19</v>
      </c>
    </row>
    <row r="821" spans="1:6">
      <c r="A821" s="2961">
        <v>819</v>
      </c>
      <c r="B821" s="2961" t="s">
        <v>3899</v>
      </c>
      <c r="C821" s="2961" t="s">
        <v>3900</v>
      </c>
      <c r="D821" s="2961">
        <v>1504</v>
      </c>
      <c r="E821" s="2961" t="s">
        <v>3934</v>
      </c>
      <c r="F821" s="2961">
        <v>102.92</v>
      </c>
    </row>
    <row r="822" spans="1:6">
      <c r="A822" s="2961">
        <v>820</v>
      </c>
      <c r="B822" s="2961" t="s">
        <v>3899</v>
      </c>
      <c r="C822" s="2961" t="s">
        <v>3900</v>
      </c>
      <c r="D822" s="2961">
        <v>1604</v>
      </c>
      <c r="E822" s="2961" t="s">
        <v>3935</v>
      </c>
      <c r="F822" s="2961">
        <v>102.92</v>
      </c>
    </row>
    <row r="823" spans="1:6">
      <c r="A823" s="2961">
        <v>821</v>
      </c>
      <c r="B823" s="2961" t="s">
        <v>3899</v>
      </c>
      <c r="C823" s="2961" t="s">
        <v>3900</v>
      </c>
      <c r="D823" s="2961">
        <v>1704</v>
      </c>
      <c r="E823" s="2961" t="s">
        <v>3936</v>
      </c>
      <c r="F823" s="2961">
        <v>102.92</v>
      </c>
    </row>
    <row r="824" spans="1:6">
      <c r="A824" s="2961">
        <v>822</v>
      </c>
      <c r="B824" s="2961" t="s">
        <v>3899</v>
      </c>
      <c r="C824" s="2961" t="s">
        <v>3900</v>
      </c>
      <c r="D824" s="2961">
        <v>1707</v>
      </c>
      <c r="E824" s="2961" t="s">
        <v>3937</v>
      </c>
      <c r="F824" s="2961">
        <v>35.35</v>
      </c>
    </row>
    <row r="825" spans="1:6">
      <c r="A825" s="2961">
        <v>823</v>
      </c>
      <c r="B825" s="2961" t="s">
        <v>3899</v>
      </c>
      <c r="C825" s="2961" t="s">
        <v>3900</v>
      </c>
      <c r="D825" s="2961">
        <v>1801</v>
      </c>
      <c r="E825" s="2961" t="s">
        <v>3938</v>
      </c>
      <c r="F825" s="2961">
        <v>51.39</v>
      </c>
    </row>
    <row r="826" spans="1:6">
      <c r="A826" s="2961">
        <v>824</v>
      </c>
      <c r="B826" s="2961" t="s">
        <v>3899</v>
      </c>
      <c r="C826" s="2961" t="s">
        <v>3900</v>
      </c>
      <c r="D826" s="2961">
        <v>1803</v>
      </c>
      <c r="E826" s="2961" t="s">
        <v>3939</v>
      </c>
      <c r="F826" s="2961">
        <v>102.91</v>
      </c>
    </row>
    <row r="827" spans="1:6">
      <c r="A827" s="2961">
        <v>825</v>
      </c>
      <c r="B827" s="2961" t="s">
        <v>3899</v>
      </c>
      <c r="C827" s="2961" t="s">
        <v>3900</v>
      </c>
      <c r="D827" s="2961">
        <v>1804</v>
      </c>
      <c r="E827" s="2961" t="s">
        <v>3940</v>
      </c>
      <c r="F827" s="2961">
        <v>102.92</v>
      </c>
    </row>
    <row r="828" spans="1:6">
      <c r="A828" s="2961">
        <v>826</v>
      </c>
      <c r="B828" s="2961" t="s">
        <v>3899</v>
      </c>
      <c r="C828" s="2961" t="s">
        <v>3900</v>
      </c>
      <c r="D828" s="2961">
        <v>1805</v>
      </c>
      <c r="E828" s="2961" t="s">
        <v>3941</v>
      </c>
      <c r="F828" s="2961">
        <v>58.44</v>
      </c>
    </row>
    <row r="829" spans="1:6">
      <c r="A829" s="2961">
        <v>827</v>
      </c>
      <c r="B829" s="2961" t="s">
        <v>3899</v>
      </c>
      <c r="C829" s="2961" t="s">
        <v>3900</v>
      </c>
      <c r="D829" s="2961">
        <v>1901</v>
      </c>
      <c r="E829" s="2961" t="s">
        <v>3942</v>
      </c>
      <c r="F829" s="2961">
        <v>51.39</v>
      </c>
    </row>
    <row r="830" spans="1:6">
      <c r="A830" s="2961">
        <v>828</v>
      </c>
      <c r="B830" s="2961" t="s">
        <v>3899</v>
      </c>
      <c r="C830" s="2961" t="s">
        <v>3900</v>
      </c>
      <c r="D830" s="2961">
        <v>1903</v>
      </c>
      <c r="E830" s="2961" t="s">
        <v>3943</v>
      </c>
      <c r="F830" s="2961">
        <v>102.91</v>
      </c>
    </row>
    <row r="831" spans="1:6">
      <c r="A831" s="2961">
        <v>829</v>
      </c>
      <c r="B831" s="2961" t="s">
        <v>3899</v>
      </c>
      <c r="C831" s="2961" t="s">
        <v>3900</v>
      </c>
      <c r="D831" s="2961">
        <v>1904</v>
      </c>
      <c r="E831" s="2961" t="s">
        <v>3944</v>
      </c>
      <c r="F831" s="2961">
        <v>102.92</v>
      </c>
    </row>
    <row r="832" spans="1:6">
      <c r="A832" s="2961">
        <v>830</v>
      </c>
      <c r="B832" s="2961" t="s">
        <v>3899</v>
      </c>
      <c r="C832" s="2961" t="s">
        <v>3900</v>
      </c>
      <c r="D832" s="2961">
        <v>1906</v>
      </c>
      <c r="E832" s="2961" t="s">
        <v>3945</v>
      </c>
      <c r="F832" s="2961">
        <v>35.369999999999997</v>
      </c>
    </row>
    <row r="833" spans="1:6">
      <c r="A833" s="2961">
        <v>831</v>
      </c>
      <c r="B833" s="2961" t="s">
        <v>3899</v>
      </c>
      <c r="C833" s="2961" t="s">
        <v>3900</v>
      </c>
      <c r="D833" s="2961">
        <v>2002</v>
      </c>
      <c r="E833" s="2961" t="s">
        <v>3946</v>
      </c>
      <c r="F833" s="2961">
        <v>58.19</v>
      </c>
    </row>
    <row r="834" spans="1:6">
      <c r="A834" s="2961">
        <v>832</v>
      </c>
      <c r="B834" s="2961" t="s">
        <v>3899</v>
      </c>
      <c r="C834" s="2961" t="s">
        <v>3900</v>
      </c>
      <c r="D834" s="2961">
        <v>2004</v>
      </c>
      <c r="E834" s="2961" t="s">
        <v>3947</v>
      </c>
      <c r="F834" s="2961">
        <v>102.92</v>
      </c>
    </row>
    <row r="835" spans="1:6">
      <c r="A835" s="2961">
        <v>833</v>
      </c>
      <c r="B835" s="2961" t="s">
        <v>3899</v>
      </c>
      <c r="C835" s="2961" t="s">
        <v>3900</v>
      </c>
      <c r="D835" s="2961">
        <v>2005</v>
      </c>
      <c r="E835" s="2961" t="s">
        <v>3948</v>
      </c>
      <c r="F835" s="2961">
        <v>58.44</v>
      </c>
    </row>
    <row r="836" spans="1:6">
      <c r="A836" s="2961">
        <v>834</v>
      </c>
      <c r="B836" s="2961" t="s">
        <v>3899</v>
      </c>
      <c r="C836" s="2961" t="s">
        <v>3900</v>
      </c>
      <c r="D836" s="2961">
        <v>2006</v>
      </c>
      <c r="E836" s="2961" t="s">
        <v>3949</v>
      </c>
      <c r="F836" s="2961">
        <v>35.369999999999997</v>
      </c>
    </row>
    <row r="837" spans="1:6">
      <c r="A837" s="2961">
        <v>835</v>
      </c>
      <c r="B837" s="2961" t="s">
        <v>3899</v>
      </c>
      <c r="C837" s="2961" t="s">
        <v>3900</v>
      </c>
      <c r="D837" s="2961">
        <v>2007</v>
      </c>
      <c r="E837" s="2961" t="s">
        <v>3950</v>
      </c>
      <c r="F837" s="2961">
        <v>35.35</v>
      </c>
    </row>
    <row r="838" spans="1:6">
      <c r="A838" s="2961">
        <v>836</v>
      </c>
      <c r="B838" s="2961" t="s">
        <v>3899</v>
      </c>
      <c r="C838" s="2961" t="s">
        <v>3951</v>
      </c>
      <c r="D838" s="2961">
        <v>202</v>
      </c>
      <c r="E838" s="2961" t="s">
        <v>3952</v>
      </c>
      <c r="F838" s="2961">
        <v>51.39</v>
      </c>
    </row>
    <row r="839" spans="1:6">
      <c r="A839" s="2961">
        <v>837</v>
      </c>
      <c r="B839" s="2961" t="s">
        <v>3899</v>
      </c>
      <c r="C839" s="2961" t="s">
        <v>3951</v>
      </c>
      <c r="D839" s="2961">
        <v>209</v>
      </c>
      <c r="E839" s="2961" t="s">
        <v>3953</v>
      </c>
      <c r="F839" s="2961">
        <v>58.71</v>
      </c>
    </row>
    <row r="840" spans="1:6">
      <c r="A840" s="2961">
        <v>838</v>
      </c>
      <c r="B840" s="2961" t="s">
        <v>3899</v>
      </c>
      <c r="C840" s="2961" t="s">
        <v>3951</v>
      </c>
      <c r="D840" s="2961">
        <v>303</v>
      </c>
      <c r="E840" s="2961" t="s">
        <v>3954</v>
      </c>
      <c r="F840" s="2961">
        <v>51.37</v>
      </c>
    </row>
    <row r="841" spans="1:6">
      <c r="A841" s="2961">
        <v>839</v>
      </c>
      <c r="B841" s="2961" t="s">
        <v>3899</v>
      </c>
      <c r="C841" s="2961" t="s">
        <v>3951</v>
      </c>
      <c r="D841" s="2961">
        <v>306</v>
      </c>
      <c r="E841" s="2961" t="s">
        <v>3955</v>
      </c>
      <c r="F841" s="2961">
        <v>102.88</v>
      </c>
    </row>
    <row r="842" spans="1:6">
      <c r="A842" s="2961">
        <v>840</v>
      </c>
      <c r="B842" s="2961" t="s">
        <v>3899</v>
      </c>
      <c r="C842" s="2961" t="s">
        <v>3951</v>
      </c>
      <c r="D842" s="2961">
        <v>307</v>
      </c>
      <c r="E842" s="2961" t="s">
        <v>3956</v>
      </c>
      <c r="F842" s="2961">
        <v>51.39</v>
      </c>
    </row>
    <row r="843" spans="1:6">
      <c r="A843" s="2961">
        <v>841</v>
      </c>
      <c r="B843" s="2961" t="s">
        <v>3899</v>
      </c>
      <c r="C843" s="2961" t="s">
        <v>3951</v>
      </c>
      <c r="D843" s="2961">
        <v>406</v>
      </c>
      <c r="E843" s="2961" t="s">
        <v>3957</v>
      </c>
      <c r="F843" s="2961">
        <v>102.88</v>
      </c>
    </row>
    <row r="844" spans="1:6">
      <c r="A844" s="2961">
        <v>842</v>
      </c>
      <c r="B844" s="2961" t="s">
        <v>3899</v>
      </c>
      <c r="C844" s="2961" t="s">
        <v>3951</v>
      </c>
      <c r="D844" s="2961">
        <v>502</v>
      </c>
      <c r="E844" s="2961" t="s">
        <v>3958</v>
      </c>
      <c r="F844" s="2961">
        <v>51.39</v>
      </c>
    </row>
    <row r="845" spans="1:6">
      <c r="A845" s="2961">
        <v>843</v>
      </c>
      <c r="B845" s="2961" t="s">
        <v>3899</v>
      </c>
      <c r="C845" s="2961" t="s">
        <v>3951</v>
      </c>
      <c r="D845" s="2961">
        <v>503</v>
      </c>
      <c r="E845" s="2961" t="s">
        <v>3959</v>
      </c>
      <c r="F845" s="2961">
        <v>51.37</v>
      </c>
    </row>
    <row r="846" spans="1:6">
      <c r="A846" s="2961">
        <v>844</v>
      </c>
      <c r="B846" s="2961" t="s">
        <v>3899</v>
      </c>
      <c r="C846" s="2961" t="s">
        <v>3951</v>
      </c>
      <c r="D846" s="2961">
        <v>506</v>
      </c>
      <c r="E846" s="2961" t="s">
        <v>3960</v>
      </c>
      <c r="F846" s="2961">
        <v>102.88</v>
      </c>
    </row>
    <row r="847" spans="1:6">
      <c r="A847" s="2961">
        <v>845</v>
      </c>
      <c r="B847" s="2961" t="s">
        <v>3899</v>
      </c>
      <c r="C847" s="2961" t="s">
        <v>3951</v>
      </c>
      <c r="D847" s="2961">
        <v>606</v>
      </c>
      <c r="E847" s="2961" t="s">
        <v>3961</v>
      </c>
      <c r="F847" s="2961">
        <v>102.88</v>
      </c>
    </row>
    <row r="848" spans="1:6">
      <c r="A848" s="2961">
        <v>846</v>
      </c>
      <c r="B848" s="2961" t="s">
        <v>3899</v>
      </c>
      <c r="C848" s="2961" t="s">
        <v>3951</v>
      </c>
      <c r="D848" s="2961">
        <v>608</v>
      </c>
      <c r="E848" s="2961" t="s">
        <v>3962</v>
      </c>
      <c r="F848" s="2961">
        <v>58.16</v>
      </c>
    </row>
    <row r="849" spans="1:6">
      <c r="A849" s="2961">
        <v>847</v>
      </c>
      <c r="B849" s="2961" t="s">
        <v>3899</v>
      </c>
      <c r="C849" s="2961" t="s">
        <v>3951</v>
      </c>
      <c r="D849" s="2961">
        <v>705</v>
      </c>
      <c r="E849" s="2961" t="s">
        <v>3963</v>
      </c>
      <c r="F849" s="2961">
        <v>35.35</v>
      </c>
    </row>
    <row r="850" spans="1:6">
      <c r="A850" s="2961">
        <v>848</v>
      </c>
      <c r="B850" s="2961" t="s">
        <v>3899</v>
      </c>
      <c r="C850" s="2961" t="s">
        <v>3951</v>
      </c>
      <c r="D850" s="2961">
        <v>706</v>
      </c>
      <c r="E850" s="2961" t="s">
        <v>3964</v>
      </c>
      <c r="F850" s="2961">
        <v>102.88</v>
      </c>
    </row>
    <row r="851" spans="1:6">
      <c r="A851" s="2961">
        <v>849</v>
      </c>
      <c r="B851" s="2961" t="s">
        <v>3899</v>
      </c>
      <c r="C851" s="2961" t="s">
        <v>3951</v>
      </c>
      <c r="D851" s="2961">
        <v>709</v>
      </c>
      <c r="E851" s="2961" t="s">
        <v>3965</v>
      </c>
      <c r="F851" s="2961">
        <v>58.44</v>
      </c>
    </row>
    <row r="852" spans="1:6">
      <c r="A852" s="2961">
        <v>850</v>
      </c>
      <c r="B852" s="2961" t="s">
        <v>3899</v>
      </c>
      <c r="C852" s="2961" t="s">
        <v>3951</v>
      </c>
      <c r="D852" s="2961">
        <v>803</v>
      </c>
      <c r="E852" s="2961" t="s">
        <v>3966</v>
      </c>
      <c r="F852" s="2961">
        <v>51.37</v>
      </c>
    </row>
    <row r="853" spans="1:6">
      <c r="A853" s="2961">
        <v>851</v>
      </c>
      <c r="B853" s="2961" t="s">
        <v>3899</v>
      </c>
      <c r="C853" s="2961" t="s">
        <v>3951</v>
      </c>
      <c r="D853" s="2961">
        <v>806</v>
      </c>
      <c r="E853" s="2961" t="s">
        <v>3967</v>
      </c>
      <c r="F853" s="2961">
        <v>102.88</v>
      </c>
    </row>
    <row r="854" spans="1:6">
      <c r="A854" s="2961">
        <v>852</v>
      </c>
      <c r="B854" s="2961" t="s">
        <v>3899</v>
      </c>
      <c r="C854" s="2961" t="s">
        <v>3951</v>
      </c>
      <c r="D854" s="2961">
        <v>902</v>
      </c>
      <c r="E854" s="2961" t="s">
        <v>3968</v>
      </c>
      <c r="F854" s="2961">
        <v>51.39</v>
      </c>
    </row>
    <row r="855" spans="1:6">
      <c r="A855" s="2961">
        <v>853</v>
      </c>
      <c r="B855" s="2961" t="s">
        <v>3899</v>
      </c>
      <c r="C855" s="2961" t="s">
        <v>3951</v>
      </c>
      <c r="D855" s="2961">
        <v>906</v>
      </c>
      <c r="E855" s="2961" t="s">
        <v>3969</v>
      </c>
      <c r="F855" s="2961">
        <v>102.88</v>
      </c>
    </row>
    <row r="856" spans="1:6">
      <c r="A856" s="2961">
        <v>854</v>
      </c>
      <c r="B856" s="2961" t="s">
        <v>3899</v>
      </c>
      <c r="C856" s="2961" t="s">
        <v>3951</v>
      </c>
      <c r="D856" s="2961">
        <v>907</v>
      </c>
      <c r="E856" s="2961" t="s">
        <v>3970</v>
      </c>
      <c r="F856" s="2961">
        <v>51.39</v>
      </c>
    </row>
    <row r="857" spans="1:6">
      <c r="A857" s="2961">
        <v>855</v>
      </c>
      <c r="B857" s="2961" t="s">
        <v>3899</v>
      </c>
      <c r="C857" s="2961" t="s">
        <v>3951</v>
      </c>
      <c r="D857" s="2961">
        <v>1006</v>
      </c>
      <c r="E857" s="2961" t="s">
        <v>3971</v>
      </c>
      <c r="F857" s="2961">
        <v>102.88</v>
      </c>
    </row>
    <row r="858" spans="1:6">
      <c r="A858" s="2961">
        <v>856</v>
      </c>
      <c r="B858" s="2961" t="s">
        <v>3899</v>
      </c>
      <c r="C858" s="2961" t="s">
        <v>3951</v>
      </c>
      <c r="D858" s="2961">
        <v>1106</v>
      </c>
      <c r="E858" s="2961" t="s">
        <v>3972</v>
      </c>
      <c r="F858" s="2961">
        <v>102.88</v>
      </c>
    </row>
    <row r="859" spans="1:6">
      <c r="A859" s="2961">
        <v>857</v>
      </c>
      <c r="B859" s="2961" t="s">
        <v>3899</v>
      </c>
      <c r="C859" s="2961" t="s">
        <v>3951</v>
      </c>
      <c r="D859" s="2961">
        <v>1208</v>
      </c>
      <c r="E859" s="2961" t="s">
        <v>3973</v>
      </c>
      <c r="F859" s="2961">
        <v>58.16</v>
      </c>
    </row>
    <row r="860" spans="1:6">
      <c r="A860" s="2961">
        <v>858</v>
      </c>
      <c r="B860" s="2961" t="s">
        <v>3899</v>
      </c>
      <c r="C860" s="2961" t="s">
        <v>3951</v>
      </c>
      <c r="D860" s="2961">
        <v>1407</v>
      </c>
      <c r="E860" s="2961" t="s">
        <v>3974</v>
      </c>
      <c r="F860" s="2961">
        <v>51.39</v>
      </c>
    </row>
    <row r="861" spans="1:6">
      <c r="A861" s="2961">
        <v>859</v>
      </c>
      <c r="B861" s="2961" t="s">
        <v>3899</v>
      </c>
      <c r="C861" s="2961" t="s">
        <v>3951</v>
      </c>
      <c r="D861" s="2961">
        <v>1603</v>
      </c>
      <c r="E861" s="2961" t="s">
        <v>3975</v>
      </c>
      <c r="F861" s="2961">
        <v>51.37</v>
      </c>
    </row>
    <row r="862" spans="1:6">
      <c r="A862" s="2961">
        <v>860</v>
      </c>
      <c r="B862" s="2961" t="s">
        <v>3899</v>
      </c>
      <c r="C862" s="2961" t="s">
        <v>3951</v>
      </c>
      <c r="D862" s="2961">
        <v>1706</v>
      </c>
      <c r="E862" s="2961" t="s">
        <v>3976</v>
      </c>
      <c r="F862" s="2961">
        <v>102.88</v>
      </c>
    </row>
    <row r="863" spans="1:6">
      <c r="A863" s="2961">
        <v>861</v>
      </c>
      <c r="B863" s="2961" t="s">
        <v>3899</v>
      </c>
      <c r="C863" s="2961" t="s">
        <v>3951</v>
      </c>
      <c r="D863" s="2961">
        <v>1802</v>
      </c>
      <c r="E863" s="2961" t="s">
        <v>3977</v>
      </c>
      <c r="F863" s="2961">
        <v>51.39</v>
      </c>
    </row>
    <row r="864" spans="1:6">
      <c r="A864" s="2961">
        <v>862</v>
      </c>
      <c r="B864" s="2961" t="s">
        <v>3899</v>
      </c>
      <c r="C864" s="2961" t="s">
        <v>3951</v>
      </c>
      <c r="D864" s="2961">
        <v>1806</v>
      </c>
      <c r="E864" s="2961" t="s">
        <v>3978</v>
      </c>
      <c r="F864" s="2961">
        <v>102.88</v>
      </c>
    </row>
    <row r="865" spans="1:6">
      <c r="A865" s="2961">
        <v>863</v>
      </c>
      <c r="B865" s="2961" t="s">
        <v>3899</v>
      </c>
      <c r="C865" s="2961" t="s">
        <v>3951</v>
      </c>
      <c r="D865" s="2961">
        <v>1807</v>
      </c>
      <c r="E865" s="2961" t="s">
        <v>3979</v>
      </c>
      <c r="F865" s="2961">
        <v>51.39</v>
      </c>
    </row>
    <row r="866" spans="1:6">
      <c r="A866" s="2961">
        <v>864</v>
      </c>
      <c r="B866" s="2961" t="s">
        <v>3899</v>
      </c>
      <c r="C866" s="2961" t="s">
        <v>3951</v>
      </c>
      <c r="D866" s="2961">
        <v>1907</v>
      </c>
      <c r="E866" s="2961" t="s">
        <v>3980</v>
      </c>
      <c r="F866" s="2961">
        <v>51.39</v>
      </c>
    </row>
    <row r="867" spans="1:6">
      <c r="A867" s="2961">
        <v>865</v>
      </c>
      <c r="B867" s="2961" t="s">
        <v>3899</v>
      </c>
      <c r="C867" s="2961" t="s">
        <v>3951</v>
      </c>
      <c r="D867" s="2961">
        <v>2002</v>
      </c>
      <c r="E867" s="2961" t="s">
        <v>3981</v>
      </c>
      <c r="F867" s="2961">
        <v>51.39</v>
      </c>
    </row>
    <row r="868" spans="1:6">
      <c r="A868" s="2961">
        <v>866</v>
      </c>
      <c r="B868" s="2961" t="s">
        <v>3899</v>
      </c>
      <c r="C868" s="2961" t="s">
        <v>3951</v>
      </c>
      <c r="D868" s="2961">
        <v>2005</v>
      </c>
      <c r="E868" s="2961" t="s">
        <v>3982</v>
      </c>
      <c r="F868" s="2961">
        <v>35.35</v>
      </c>
    </row>
    <row r="869" spans="1:6">
      <c r="A869" s="2961">
        <v>867</v>
      </c>
      <c r="B869" s="2961" t="s">
        <v>3899</v>
      </c>
      <c r="C869" s="2961" t="s">
        <v>3951</v>
      </c>
      <c r="D869" s="2961">
        <v>2006</v>
      </c>
      <c r="E869" s="2961" t="s">
        <v>3983</v>
      </c>
      <c r="F869" s="2961">
        <v>102.88</v>
      </c>
    </row>
    <row r="870" spans="1:6">
      <c r="A870" s="2961">
        <v>868</v>
      </c>
      <c r="B870" s="2961" t="s">
        <v>3899</v>
      </c>
      <c r="C870" s="2961" t="s">
        <v>3951</v>
      </c>
      <c r="D870" s="2961">
        <v>2007</v>
      </c>
      <c r="E870" s="2961" t="s">
        <v>3984</v>
      </c>
      <c r="F870" s="2961">
        <v>51.39</v>
      </c>
    </row>
    <row r="871" spans="1:6">
      <c r="A871" s="2961">
        <v>869</v>
      </c>
      <c r="B871" s="2961" t="s">
        <v>3899</v>
      </c>
      <c r="C871" s="2961" t="s">
        <v>3985</v>
      </c>
      <c r="D871" s="2961">
        <v>202</v>
      </c>
      <c r="E871" s="2961" t="s">
        <v>3986</v>
      </c>
      <c r="F871" s="2961">
        <v>51.4</v>
      </c>
    </row>
    <row r="872" spans="1:6">
      <c r="A872" s="2961">
        <v>870</v>
      </c>
      <c r="B872" s="2961" t="s">
        <v>3899</v>
      </c>
      <c r="C872" s="2961" t="s">
        <v>3985</v>
      </c>
      <c r="D872" s="2961">
        <v>206</v>
      </c>
      <c r="E872" s="2961" t="s">
        <v>3987</v>
      </c>
      <c r="F872" s="2961">
        <v>58.43</v>
      </c>
    </row>
    <row r="873" spans="1:6">
      <c r="A873" s="2961">
        <v>871</v>
      </c>
      <c r="B873" s="2961" t="s">
        <v>3899</v>
      </c>
      <c r="C873" s="2961" t="s">
        <v>3985</v>
      </c>
      <c r="D873" s="2961">
        <v>207</v>
      </c>
      <c r="E873" s="2961" t="s">
        <v>3988</v>
      </c>
      <c r="F873" s="2961">
        <v>35.340000000000003</v>
      </c>
    </row>
    <row r="874" spans="1:6">
      <c r="A874" s="2961">
        <v>872</v>
      </c>
      <c r="B874" s="2961" t="s">
        <v>3899</v>
      </c>
      <c r="C874" s="2961" t="s">
        <v>3985</v>
      </c>
      <c r="D874" s="2961">
        <v>210</v>
      </c>
      <c r="E874" s="2961" t="s">
        <v>3989</v>
      </c>
      <c r="F874" s="2961">
        <v>101</v>
      </c>
    </row>
    <row r="875" spans="1:6">
      <c r="A875" s="2961">
        <v>873</v>
      </c>
      <c r="B875" s="2961" t="s">
        <v>3899</v>
      </c>
      <c r="C875" s="2961" t="s">
        <v>3985</v>
      </c>
      <c r="D875" s="2961">
        <v>302</v>
      </c>
      <c r="E875" s="2961" t="s">
        <v>3990</v>
      </c>
      <c r="F875" s="2961">
        <v>51.4</v>
      </c>
    </row>
    <row r="876" spans="1:6">
      <c r="A876" s="2961">
        <v>874</v>
      </c>
      <c r="B876" s="2961" t="s">
        <v>3899</v>
      </c>
      <c r="C876" s="2961" t="s">
        <v>3985</v>
      </c>
      <c r="D876" s="2961">
        <v>309</v>
      </c>
      <c r="E876" s="2961" t="s">
        <v>3991</v>
      </c>
      <c r="F876" s="2961">
        <v>58.44</v>
      </c>
    </row>
    <row r="877" spans="1:6">
      <c r="A877" s="2961">
        <v>875</v>
      </c>
      <c r="B877" s="2961" t="s">
        <v>3899</v>
      </c>
      <c r="C877" s="2961" t="s">
        <v>3985</v>
      </c>
      <c r="D877" s="2961">
        <v>310</v>
      </c>
      <c r="E877" s="2961" t="s">
        <v>3992</v>
      </c>
      <c r="F877" s="2961">
        <v>101</v>
      </c>
    </row>
    <row r="878" spans="1:6">
      <c r="A878" s="2961">
        <v>876</v>
      </c>
      <c r="B878" s="2961" t="s">
        <v>3899</v>
      </c>
      <c r="C878" s="2961" t="s">
        <v>3985</v>
      </c>
      <c r="D878" s="2961">
        <v>402</v>
      </c>
      <c r="E878" s="2961" t="s">
        <v>3993</v>
      </c>
      <c r="F878" s="2961">
        <v>51.4</v>
      </c>
    </row>
    <row r="879" spans="1:6">
      <c r="A879" s="2961">
        <v>877</v>
      </c>
      <c r="B879" s="2961" t="s">
        <v>3899</v>
      </c>
      <c r="C879" s="2961" t="s">
        <v>3985</v>
      </c>
      <c r="D879" s="2961">
        <v>403</v>
      </c>
      <c r="E879" s="2961" t="s">
        <v>3994</v>
      </c>
      <c r="F879" s="2961">
        <v>51.4</v>
      </c>
    </row>
    <row r="880" spans="1:6">
      <c r="A880" s="2961">
        <v>878</v>
      </c>
      <c r="B880" s="2961" t="s">
        <v>3899</v>
      </c>
      <c r="C880" s="2961" t="s">
        <v>3985</v>
      </c>
      <c r="D880" s="2961">
        <v>410</v>
      </c>
      <c r="E880" s="2961" t="s">
        <v>3995</v>
      </c>
      <c r="F880" s="2961">
        <v>101</v>
      </c>
    </row>
    <row r="881" spans="1:6">
      <c r="A881" s="2961">
        <v>879</v>
      </c>
      <c r="B881" s="2961" t="s">
        <v>3899</v>
      </c>
      <c r="C881" s="2961" t="s">
        <v>3985</v>
      </c>
      <c r="D881" s="2961">
        <v>510</v>
      </c>
      <c r="E881" s="2961" t="s">
        <v>3996</v>
      </c>
      <c r="F881" s="2961">
        <v>101</v>
      </c>
    </row>
    <row r="882" spans="1:6">
      <c r="A882" s="2961">
        <v>880</v>
      </c>
      <c r="B882" s="2961" t="s">
        <v>3899</v>
      </c>
      <c r="C882" s="2961" t="s">
        <v>3985</v>
      </c>
      <c r="D882" s="2961">
        <v>603</v>
      </c>
      <c r="E882" s="2961" t="s">
        <v>3997</v>
      </c>
      <c r="F882" s="2961">
        <v>51.4</v>
      </c>
    </row>
    <row r="883" spans="1:6">
      <c r="A883" s="2961">
        <v>881</v>
      </c>
      <c r="B883" s="2961" t="s">
        <v>3899</v>
      </c>
      <c r="C883" s="2961" t="s">
        <v>3985</v>
      </c>
      <c r="D883" s="2961">
        <v>703</v>
      </c>
      <c r="E883" s="2961" t="s">
        <v>3998</v>
      </c>
      <c r="F883" s="2961">
        <v>51.4</v>
      </c>
    </row>
    <row r="884" spans="1:6">
      <c r="A884" s="2961">
        <v>882</v>
      </c>
      <c r="B884" s="2961" t="s">
        <v>3899</v>
      </c>
      <c r="C884" s="2961" t="s">
        <v>3985</v>
      </c>
      <c r="D884" s="2961">
        <v>707</v>
      </c>
      <c r="E884" s="2961" t="s">
        <v>3999</v>
      </c>
      <c r="F884" s="2961">
        <v>35.340000000000003</v>
      </c>
    </row>
    <row r="885" spans="1:6">
      <c r="A885" s="2961">
        <v>883</v>
      </c>
      <c r="B885" s="2961" t="s">
        <v>3899</v>
      </c>
      <c r="C885" s="2961" t="s">
        <v>3985</v>
      </c>
      <c r="D885" s="2961">
        <v>708</v>
      </c>
      <c r="E885" s="2961" t="s">
        <v>4000</v>
      </c>
      <c r="F885" s="2961">
        <v>35.340000000000003</v>
      </c>
    </row>
    <row r="886" spans="1:6">
      <c r="A886" s="2961">
        <v>884</v>
      </c>
      <c r="B886" s="2961" t="s">
        <v>3899</v>
      </c>
      <c r="C886" s="2961" t="s">
        <v>3985</v>
      </c>
      <c r="D886" s="2961">
        <v>710</v>
      </c>
      <c r="E886" s="2961" t="s">
        <v>4001</v>
      </c>
      <c r="F886" s="2961">
        <v>101</v>
      </c>
    </row>
    <row r="887" spans="1:6">
      <c r="A887" s="2961">
        <v>885</v>
      </c>
      <c r="B887" s="2961" t="s">
        <v>3899</v>
      </c>
      <c r="C887" s="2961" t="s">
        <v>3985</v>
      </c>
      <c r="D887" s="2961">
        <v>804</v>
      </c>
      <c r="E887" s="2961" t="s">
        <v>4002</v>
      </c>
      <c r="F887" s="2961">
        <v>51.39</v>
      </c>
    </row>
    <row r="888" spans="1:6">
      <c r="A888" s="2961">
        <v>886</v>
      </c>
      <c r="B888" s="2961" t="s">
        <v>3899</v>
      </c>
      <c r="C888" s="2961" t="s">
        <v>3985</v>
      </c>
      <c r="D888" s="2961">
        <v>810</v>
      </c>
      <c r="E888" s="2961" t="s">
        <v>4003</v>
      </c>
      <c r="F888" s="2961">
        <v>101</v>
      </c>
    </row>
    <row r="889" spans="1:6">
      <c r="A889" s="2961">
        <v>887</v>
      </c>
      <c r="B889" s="2961" t="s">
        <v>3899</v>
      </c>
      <c r="C889" s="2961" t="s">
        <v>3985</v>
      </c>
      <c r="D889" s="2961">
        <v>910</v>
      </c>
      <c r="E889" s="2961" t="s">
        <v>4004</v>
      </c>
      <c r="F889" s="2961">
        <v>101</v>
      </c>
    </row>
    <row r="890" spans="1:6">
      <c r="A890" s="2961">
        <v>888</v>
      </c>
      <c r="B890" s="2961" t="s">
        <v>3899</v>
      </c>
      <c r="C890" s="2961" t="s">
        <v>3985</v>
      </c>
      <c r="D890" s="2961">
        <v>1102</v>
      </c>
      <c r="E890" s="2961" t="s">
        <v>4005</v>
      </c>
      <c r="F890" s="2961">
        <v>51.4</v>
      </c>
    </row>
    <row r="891" spans="1:6">
      <c r="A891" s="2961">
        <v>889</v>
      </c>
      <c r="B891" s="2961" t="s">
        <v>3899</v>
      </c>
      <c r="C891" s="2961" t="s">
        <v>3985</v>
      </c>
      <c r="D891" s="2961">
        <v>1103</v>
      </c>
      <c r="E891" s="2961" t="s">
        <v>4006</v>
      </c>
      <c r="F891" s="2961">
        <v>51.4</v>
      </c>
    </row>
    <row r="892" spans="1:6">
      <c r="A892" s="2961">
        <v>890</v>
      </c>
      <c r="B892" s="2961" t="s">
        <v>3899</v>
      </c>
      <c r="C892" s="2961" t="s">
        <v>3985</v>
      </c>
      <c r="D892" s="2961">
        <v>1110</v>
      </c>
      <c r="E892" s="2961" t="s">
        <v>4007</v>
      </c>
      <c r="F892" s="2961">
        <v>101</v>
      </c>
    </row>
    <row r="893" spans="1:6">
      <c r="A893" s="2961">
        <v>891</v>
      </c>
      <c r="B893" s="2961" t="s">
        <v>3899</v>
      </c>
      <c r="C893" s="2961" t="s">
        <v>3985</v>
      </c>
      <c r="D893" s="2961">
        <v>1203</v>
      </c>
      <c r="E893" s="2961" t="s">
        <v>4008</v>
      </c>
      <c r="F893" s="2961">
        <v>51.4</v>
      </c>
    </row>
    <row r="894" spans="1:6">
      <c r="A894" s="2961">
        <v>892</v>
      </c>
      <c r="B894" s="2961" t="s">
        <v>3899</v>
      </c>
      <c r="C894" s="2961" t="s">
        <v>3985</v>
      </c>
      <c r="D894" s="2961">
        <v>1210</v>
      </c>
      <c r="E894" s="2961" t="s">
        <v>4009</v>
      </c>
      <c r="F894" s="2961">
        <v>101</v>
      </c>
    </row>
    <row r="895" spans="1:6">
      <c r="A895" s="2961">
        <v>893</v>
      </c>
      <c r="B895" s="2961" t="s">
        <v>3899</v>
      </c>
      <c r="C895" s="2961" t="s">
        <v>3985</v>
      </c>
      <c r="D895" s="2961">
        <v>1310</v>
      </c>
      <c r="E895" s="2961" t="s">
        <v>4010</v>
      </c>
      <c r="F895" s="2961">
        <v>101</v>
      </c>
    </row>
    <row r="896" spans="1:6">
      <c r="A896" s="2961">
        <v>894</v>
      </c>
      <c r="B896" s="2961" t="s">
        <v>3899</v>
      </c>
      <c r="C896" s="2961" t="s">
        <v>3985</v>
      </c>
      <c r="D896" s="2961">
        <v>1403</v>
      </c>
      <c r="E896" s="2961" t="s">
        <v>4011</v>
      </c>
      <c r="F896" s="2961">
        <v>51.4</v>
      </c>
    </row>
    <row r="897" spans="1:6">
      <c r="A897" s="2961">
        <v>895</v>
      </c>
      <c r="B897" s="2961" t="s">
        <v>3899</v>
      </c>
      <c r="C897" s="2961" t="s">
        <v>3985</v>
      </c>
      <c r="D897" s="2961">
        <v>1410</v>
      </c>
      <c r="E897" s="2961" t="s">
        <v>4012</v>
      </c>
      <c r="F897" s="2961">
        <v>101</v>
      </c>
    </row>
    <row r="898" spans="1:6">
      <c r="A898" s="2961">
        <v>896</v>
      </c>
      <c r="B898" s="2961" t="s">
        <v>3899</v>
      </c>
      <c r="C898" s="2961" t="s">
        <v>3985</v>
      </c>
      <c r="D898" s="2961">
        <v>1602</v>
      </c>
      <c r="E898" s="2961" t="s">
        <v>4013</v>
      </c>
      <c r="F898" s="2961">
        <v>51.4</v>
      </c>
    </row>
    <row r="899" spans="1:6">
      <c r="A899" s="2961">
        <v>897</v>
      </c>
      <c r="B899" s="2961" t="s">
        <v>3899</v>
      </c>
      <c r="C899" s="2961" t="s">
        <v>3985</v>
      </c>
      <c r="D899" s="2961">
        <v>1604</v>
      </c>
      <c r="E899" s="2961" t="s">
        <v>4014</v>
      </c>
      <c r="F899" s="2961">
        <v>51.39</v>
      </c>
    </row>
    <row r="900" spans="1:6">
      <c r="A900" s="2961">
        <v>898</v>
      </c>
      <c r="B900" s="2961" t="s">
        <v>3899</v>
      </c>
      <c r="C900" s="2961" t="s">
        <v>3985</v>
      </c>
      <c r="D900" s="2961">
        <v>1810</v>
      </c>
      <c r="E900" s="2961" t="s">
        <v>4015</v>
      </c>
      <c r="F900" s="2961">
        <v>101</v>
      </c>
    </row>
    <row r="901" spans="1:6">
      <c r="A901" s="2961">
        <v>899</v>
      </c>
      <c r="B901" s="2961" t="s">
        <v>3899</v>
      </c>
      <c r="C901" s="2961" t="s">
        <v>3985</v>
      </c>
      <c r="D901" s="2961">
        <v>1903</v>
      </c>
      <c r="E901" s="2961" t="s">
        <v>4016</v>
      </c>
      <c r="F901" s="2961">
        <v>51.4</v>
      </c>
    </row>
    <row r="902" spans="1:6">
      <c r="A902" s="2961">
        <v>900</v>
      </c>
      <c r="B902" s="2961" t="s">
        <v>3899</v>
      </c>
      <c r="C902" s="2961" t="s">
        <v>3985</v>
      </c>
      <c r="D902" s="2961">
        <v>1904</v>
      </c>
      <c r="E902" s="2961" t="s">
        <v>4017</v>
      </c>
      <c r="F902" s="2961">
        <v>51.39</v>
      </c>
    </row>
    <row r="903" spans="1:6">
      <c r="A903" s="2961">
        <v>901</v>
      </c>
      <c r="B903" s="2961" t="s">
        <v>3899</v>
      </c>
      <c r="C903" s="2961" t="s">
        <v>3985</v>
      </c>
      <c r="D903" s="2961">
        <v>2003</v>
      </c>
      <c r="E903" s="2961" t="s">
        <v>4018</v>
      </c>
      <c r="F903" s="2961">
        <v>51.4</v>
      </c>
    </row>
    <row r="904" spans="1:6">
      <c r="A904" s="2961">
        <v>902</v>
      </c>
      <c r="B904" s="2961" t="s">
        <v>3899</v>
      </c>
      <c r="C904" s="2961" t="s">
        <v>3985</v>
      </c>
      <c r="D904" s="2961">
        <v>2009</v>
      </c>
      <c r="E904" s="2961" t="s">
        <v>4019</v>
      </c>
      <c r="F904" s="2961">
        <v>58.44</v>
      </c>
    </row>
    <row r="905" spans="1:6">
      <c r="A905" s="2961">
        <v>903</v>
      </c>
      <c r="B905" s="2961" t="s">
        <v>3899</v>
      </c>
      <c r="C905" s="2961" t="s">
        <v>3985</v>
      </c>
      <c r="D905" s="2961">
        <v>2010</v>
      </c>
      <c r="E905" s="2961" t="s">
        <v>4020</v>
      </c>
      <c r="F905" s="2961">
        <v>101</v>
      </c>
    </row>
    <row r="906" spans="1:6">
      <c r="A906" s="2961">
        <v>904</v>
      </c>
      <c r="B906" s="2961" t="s">
        <v>4021</v>
      </c>
      <c r="C906" s="2961">
        <v>1</v>
      </c>
      <c r="D906" s="2961">
        <v>207</v>
      </c>
      <c r="E906" s="2961" t="s">
        <v>4022</v>
      </c>
      <c r="F906" s="2961">
        <v>26.28</v>
      </c>
    </row>
    <row r="907" spans="1:6">
      <c r="A907" s="2961">
        <v>905</v>
      </c>
      <c r="B907" s="2961" t="s">
        <v>4021</v>
      </c>
      <c r="C907" s="2961">
        <v>1</v>
      </c>
      <c r="D907" s="2961">
        <v>208</v>
      </c>
      <c r="E907" s="2961" t="s">
        <v>4023</v>
      </c>
      <c r="F907" s="2961">
        <v>41.33</v>
      </c>
    </row>
    <row r="908" spans="1:6">
      <c r="A908" s="2961">
        <v>906</v>
      </c>
      <c r="B908" s="2961" t="s">
        <v>4021</v>
      </c>
      <c r="C908" s="2961">
        <v>1</v>
      </c>
      <c r="D908" s="2961">
        <v>209</v>
      </c>
      <c r="E908" s="2961" t="s">
        <v>4024</v>
      </c>
      <c r="F908" s="2961">
        <v>41.33</v>
      </c>
    </row>
    <row r="909" spans="1:6">
      <c r="A909" s="2961">
        <v>907</v>
      </c>
      <c r="B909" s="2961" t="s">
        <v>4021</v>
      </c>
      <c r="C909" s="2961">
        <v>1</v>
      </c>
      <c r="D909" s="2961">
        <v>210</v>
      </c>
      <c r="E909" s="2961" t="s">
        <v>4025</v>
      </c>
      <c r="F909" s="2961">
        <v>41.33</v>
      </c>
    </row>
    <row r="910" spans="1:6">
      <c r="A910" s="2961">
        <v>908</v>
      </c>
      <c r="B910" s="2961" t="s">
        <v>4021</v>
      </c>
      <c r="C910" s="2961">
        <v>1</v>
      </c>
      <c r="D910" s="2961">
        <v>211</v>
      </c>
      <c r="E910" s="2961" t="s">
        <v>4026</v>
      </c>
      <c r="F910" s="2961">
        <v>26.28</v>
      </c>
    </row>
    <row r="911" spans="1:6">
      <c r="A911" s="2961">
        <v>909</v>
      </c>
      <c r="B911" s="2961" t="s">
        <v>4021</v>
      </c>
      <c r="C911" s="2961">
        <v>1</v>
      </c>
      <c r="D911" s="2961">
        <v>301</v>
      </c>
      <c r="E911" s="2961" t="s">
        <v>4027</v>
      </c>
      <c r="F911" s="2961">
        <v>53.08</v>
      </c>
    </row>
    <row r="912" spans="1:6">
      <c r="A912" s="2961">
        <v>910</v>
      </c>
      <c r="B912" s="2961" t="s">
        <v>4021</v>
      </c>
      <c r="C912" s="2961">
        <v>1</v>
      </c>
      <c r="D912" s="2961">
        <v>302</v>
      </c>
      <c r="E912" s="2961" t="s">
        <v>4028</v>
      </c>
      <c r="F912" s="2961">
        <v>54.32</v>
      </c>
    </row>
    <row r="913" spans="1:6">
      <c r="A913" s="2961">
        <v>911</v>
      </c>
      <c r="B913" s="2961" t="s">
        <v>4021</v>
      </c>
      <c r="C913" s="2961">
        <v>1</v>
      </c>
      <c r="D913" s="2961">
        <v>303</v>
      </c>
      <c r="E913" s="2961" t="s">
        <v>4029</v>
      </c>
      <c r="F913" s="2961">
        <v>54.32</v>
      </c>
    </row>
    <row r="914" spans="1:6">
      <c r="A914" s="2961">
        <v>912</v>
      </c>
      <c r="B914" s="2961" t="s">
        <v>4021</v>
      </c>
      <c r="C914" s="2961">
        <v>1</v>
      </c>
      <c r="D914" s="2961">
        <v>304</v>
      </c>
      <c r="E914" s="2961" t="s">
        <v>4030</v>
      </c>
      <c r="F914" s="2961">
        <v>54.32</v>
      </c>
    </row>
    <row r="915" spans="1:6">
      <c r="A915" s="2961">
        <v>913</v>
      </c>
      <c r="B915" s="2961" t="s">
        <v>4021</v>
      </c>
      <c r="C915" s="2961">
        <v>1</v>
      </c>
      <c r="D915" s="2961">
        <v>305</v>
      </c>
      <c r="E915" s="2961" t="s">
        <v>4031</v>
      </c>
      <c r="F915" s="2961">
        <v>54.32</v>
      </c>
    </row>
    <row r="916" spans="1:6">
      <c r="A916" s="2961">
        <v>914</v>
      </c>
      <c r="B916" s="2961" t="s">
        <v>4021</v>
      </c>
      <c r="C916" s="2961">
        <v>1</v>
      </c>
      <c r="D916" s="2961">
        <v>306</v>
      </c>
      <c r="E916" s="2961" t="s">
        <v>4032</v>
      </c>
      <c r="F916" s="2961">
        <v>44.22</v>
      </c>
    </row>
    <row r="917" spans="1:6">
      <c r="A917" s="2961">
        <v>915</v>
      </c>
      <c r="B917" s="2961" t="s">
        <v>4021</v>
      </c>
      <c r="C917" s="2961">
        <v>1</v>
      </c>
      <c r="D917" s="2961">
        <v>307</v>
      </c>
      <c r="E917" s="2961" t="s">
        <v>4033</v>
      </c>
      <c r="F917" s="2961">
        <v>41.33</v>
      </c>
    </row>
    <row r="918" spans="1:6">
      <c r="A918" s="2961">
        <v>916</v>
      </c>
      <c r="B918" s="2961" t="s">
        <v>4021</v>
      </c>
      <c r="C918" s="2961">
        <v>1</v>
      </c>
      <c r="D918" s="2961">
        <v>308</v>
      </c>
      <c r="E918" s="2961" t="s">
        <v>4034</v>
      </c>
      <c r="F918" s="2961">
        <v>41.33</v>
      </c>
    </row>
    <row r="919" spans="1:6">
      <c r="A919" s="2961">
        <v>917</v>
      </c>
      <c r="B919" s="2961" t="s">
        <v>4021</v>
      </c>
      <c r="C919" s="2961">
        <v>1</v>
      </c>
      <c r="D919" s="2961">
        <v>309</v>
      </c>
      <c r="E919" s="2961" t="s">
        <v>4035</v>
      </c>
      <c r="F919" s="2961">
        <v>41.33</v>
      </c>
    </row>
    <row r="920" spans="1:6">
      <c r="A920" s="2961">
        <v>918</v>
      </c>
      <c r="B920" s="2961" t="s">
        <v>4021</v>
      </c>
      <c r="C920" s="2961">
        <v>1</v>
      </c>
      <c r="D920" s="2961">
        <v>310</v>
      </c>
      <c r="E920" s="2961" t="s">
        <v>4036</v>
      </c>
      <c r="F920" s="2961">
        <v>41.33</v>
      </c>
    </row>
    <row r="921" spans="1:6">
      <c r="A921" s="2961">
        <v>919</v>
      </c>
      <c r="B921" s="2961" t="s">
        <v>4021</v>
      </c>
      <c r="C921" s="2961">
        <v>1</v>
      </c>
      <c r="D921" s="2961">
        <v>311</v>
      </c>
      <c r="E921" s="2961" t="s">
        <v>4037</v>
      </c>
      <c r="F921" s="2961">
        <v>41.33</v>
      </c>
    </row>
    <row r="922" spans="1:6">
      <c r="A922" s="2961">
        <v>920</v>
      </c>
      <c r="B922" s="2961" t="s">
        <v>4021</v>
      </c>
      <c r="C922" s="2961">
        <v>1</v>
      </c>
      <c r="D922" s="2961">
        <v>402</v>
      </c>
      <c r="E922" s="2961" t="s">
        <v>4038</v>
      </c>
      <c r="F922" s="2961">
        <v>54.32</v>
      </c>
    </row>
    <row r="923" spans="1:6">
      <c r="A923" s="2961">
        <v>921</v>
      </c>
      <c r="B923" s="2961" t="s">
        <v>4021</v>
      </c>
      <c r="C923" s="2961">
        <v>1</v>
      </c>
      <c r="D923" s="2961">
        <v>403</v>
      </c>
      <c r="E923" s="2961" t="s">
        <v>4039</v>
      </c>
      <c r="F923" s="2961">
        <v>54.32</v>
      </c>
    </row>
    <row r="924" spans="1:6">
      <c r="A924" s="2961">
        <v>922</v>
      </c>
      <c r="B924" s="2961" t="s">
        <v>4021</v>
      </c>
      <c r="C924" s="2961">
        <v>1</v>
      </c>
      <c r="D924" s="2961">
        <v>404</v>
      </c>
      <c r="E924" s="2961" t="s">
        <v>4040</v>
      </c>
      <c r="F924" s="2961">
        <v>54.32</v>
      </c>
    </row>
    <row r="925" spans="1:6">
      <c r="A925" s="2961">
        <v>923</v>
      </c>
      <c r="B925" s="2961" t="s">
        <v>4021</v>
      </c>
      <c r="C925" s="2961">
        <v>1</v>
      </c>
      <c r="D925" s="2961">
        <v>405</v>
      </c>
      <c r="E925" s="2961" t="s">
        <v>4041</v>
      </c>
      <c r="F925" s="2961">
        <v>54.32</v>
      </c>
    </row>
    <row r="926" spans="1:6">
      <c r="A926" s="2961">
        <v>924</v>
      </c>
      <c r="B926" s="2961" t="s">
        <v>4021</v>
      </c>
      <c r="C926" s="2961">
        <v>1</v>
      </c>
      <c r="D926" s="2961">
        <v>406</v>
      </c>
      <c r="E926" s="2961" t="s">
        <v>4042</v>
      </c>
      <c r="F926" s="2961">
        <v>44.22</v>
      </c>
    </row>
    <row r="927" spans="1:6">
      <c r="A927" s="2961">
        <v>925</v>
      </c>
      <c r="B927" s="2961" t="s">
        <v>4021</v>
      </c>
      <c r="C927" s="2961">
        <v>1</v>
      </c>
      <c r="D927" s="2961">
        <v>407</v>
      </c>
      <c r="E927" s="2961" t="s">
        <v>4043</v>
      </c>
      <c r="F927" s="2961">
        <v>41.33</v>
      </c>
    </row>
    <row r="928" spans="1:6">
      <c r="A928" s="2961">
        <v>926</v>
      </c>
      <c r="B928" s="2961" t="s">
        <v>4021</v>
      </c>
      <c r="C928" s="2961">
        <v>1</v>
      </c>
      <c r="D928" s="2961">
        <v>408</v>
      </c>
      <c r="E928" s="2961" t="s">
        <v>4044</v>
      </c>
      <c r="F928" s="2961">
        <v>41.33</v>
      </c>
    </row>
    <row r="929" spans="1:6">
      <c r="A929" s="2961">
        <v>927</v>
      </c>
      <c r="B929" s="2961" t="s">
        <v>4021</v>
      </c>
      <c r="C929" s="2961">
        <v>1</v>
      </c>
      <c r="D929" s="2961">
        <v>409</v>
      </c>
      <c r="E929" s="2961" t="s">
        <v>4045</v>
      </c>
      <c r="F929" s="2961">
        <v>41.33</v>
      </c>
    </row>
    <row r="930" spans="1:6">
      <c r="A930" s="2961">
        <v>928</v>
      </c>
      <c r="B930" s="2961" t="s">
        <v>4021</v>
      </c>
      <c r="C930" s="2961">
        <v>1</v>
      </c>
      <c r="D930" s="2961">
        <v>410</v>
      </c>
      <c r="E930" s="2961" t="s">
        <v>4046</v>
      </c>
      <c r="F930" s="2961">
        <v>41.33</v>
      </c>
    </row>
    <row r="931" spans="1:6">
      <c r="A931" s="2961">
        <v>929</v>
      </c>
      <c r="B931" s="2961" t="s">
        <v>4021</v>
      </c>
      <c r="C931" s="2961">
        <v>1</v>
      </c>
      <c r="D931" s="2961">
        <v>502</v>
      </c>
      <c r="E931" s="2961" t="s">
        <v>4047</v>
      </c>
      <c r="F931" s="2961">
        <v>54.32</v>
      </c>
    </row>
    <row r="932" spans="1:6">
      <c r="A932" s="2961">
        <v>930</v>
      </c>
      <c r="B932" s="2961" t="s">
        <v>4021</v>
      </c>
      <c r="C932" s="2961">
        <v>1</v>
      </c>
      <c r="D932" s="2961">
        <v>503</v>
      </c>
      <c r="E932" s="2961" t="s">
        <v>4048</v>
      </c>
      <c r="F932" s="2961">
        <v>54.32</v>
      </c>
    </row>
    <row r="933" spans="1:6">
      <c r="A933" s="2961">
        <v>931</v>
      </c>
      <c r="B933" s="2961" t="s">
        <v>4021</v>
      </c>
      <c r="C933" s="2961">
        <v>1</v>
      </c>
      <c r="D933" s="2961">
        <v>504</v>
      </c>
      <c r="E933" s="2961" t="s">
        <v>4049</v>
      </c>
      <c r="F933" s="2961">
        <v>54.32</v>
      </c>
    </row>
    <row r="934" spans="1:6">
      <c r="A934" s="2961">
        <v>932</v>
      </c>
      <c r="B934" s="2961" t="s">
        <v>4021</v>
      </c>
      <c r="C934" s="2961">
        <v>1</v>
      </c>
      <c r="D934" s="2961">
        <v>505</v>
      </c>
      <c r="E934" s="2961" t="s">
        <v>4050</v>
      </c>
      <c r="F934" s="2961">
        <v>54.32</v>
      </c>
    </row>
    <row r="935" spans="1:6">
      <c r="A935" s="2961">
        <v>933</v>
      </c>
      <c r="B935" s="2961" t="s">
        <v>4021</v>
      </c>
      <c r="C935" s="2961">
        <v>1</v>
      </c>
      <c r="D935" s="2961">
        <v>506</v>
      </c>
      <c r="E935" s="2961" t="s">
        <v>4051</v>
      </c>
      <c r="F935" s="2961">
        <v>44.22</v>
      </c>
    </row>
    <row r="936" spans="1:6">
      <c r="A936" s="2961">
        <v>934</v>
      </c>
      <c r="B936" s="2961" t="s">
        <v>4021</v>
      </c>
      <c r="C936" s="2961">
        <v>1</v>
      </c>
      <c r="D936" s="2961">
        <v>509</v>
      </c>
      <c r="E936" s="2961" t="s">
        <v>4052</v>
      </c>
      <c r="F936" s="2961">
        <v>41.33</v>
      </c>
    </row>
    <row r="937" spans="1:6">
      <c r="A937" s="2961">
        <v>935</v>
      </c>
      <c r="B937" s="2961" t="s">
        <v>4021</v>
      </c>
      <c r="C937" s="2961">
        <v>1</v>
      </c>
      <c r="D937" s="2961">
        <v>510</v>
      </c>
      <c r="E937" s="2961" t="s">
        <v>4053</v>
      </c>
      <c r="F937" s="2961">
        <v>41.33</v>
      </c>
    </row>
    <row r="938" spans="1:6">
      <c r="A938" s="2961">
        <v>936</v>
      </c>
      <c r="B938" s="2961" t="s">
        <v>4021</v>
      </c>
      <c r="C938" s="2961">
        <v>1</v>
      </c>
      <c r="D938" s="2961">
        <v>511</v>
      </c>
      <c r="E938" s="2961" t="s">
        <v>4054</v>
      </c>
      <c r="F938" s="2961">
        <v>41.33</v>
      </c>
    </row>
    <row r="939" spans="1:6">
      <c r="A939" s="2961">
        <v>937</v>
      </c>
      <c r="B939" s="2961" t="s">
        <v>4021</v>
      </c>
      <c r="C939" s="2961">
        <v>1</v>
      </c>
      <c r="D939" s="2961">
        <v>602</v>
      </c>
      <c r="E939" s="2961" t="s">
        <v>4055</v>
      </c>
      <c r="F939" s="2961">
        <v>54.32</v>
      </c>
    </row>
    <row r="940" spans="1:6">
      <c r="A940" s="2961">
        <v>938</v>
      </c>
      <c r="B940" s="2961" t="s">
        <v>4021</v>
      </c>
      <c r="C940" s="2961">
        <v>1</v>
      </c>
      <c r="D940" s="2961">
        <v>603</v>
      </c>
      <c r="E940" s="2961" t="s">
        <v>4056</v>
      </c>
      <c r="F940" s="2961">
        <v>54.32</v>
      </c>
    </row>
    <row r="941" spans="1:6">
      <c r="A941" s="2961">
        <v>939</v>
      </c>
      <c r="B941" s="2961" t="s">
        <v>4021</v>
      </c>
      <c r="C941" s="2961">
        <v>1</v>
      </c>
      <c r="D941" s="2961">
        <v>604</v>
      </c>
      <c r="E941" s="2961" t="s">
        <v>4057</v>
      </c>
      <c r="F941" s="2961">
        <v>54.32</v>
      </c>
    </row>
    <row r="942" spans="1:6">
      <c r="A942" s="2961">
        <v>940</v>
      </c>
      <c r="B942" s="2961" t="s">
        <v>4021</v>
      </c>
      <c r="C942" s="2961">
        <v>1</v>
      </c>
      <c r="D942" s="2961">
        <v>605</v>
      </c>
      <c r="E942" s="2961" t="s">
        <v>4058</v>
      </c>
      <c r="F942" s="2961">
        <v>54.32</v>
      </c>
    </row>
    <row r="943" spans="1:6">
      <c r="A943" s="2961">
        <v>941</v>
      </c>
      <c r="B943" s="2961" t="s">
        <v>4021</v>
      </c>
      <c r="C943" s="2961">
        <v>1</v>
      </c>
      <c r="D943" s="2961">
        <v>606</v>
      </c>
      <c r="E943" s="2961" t="s">
        <v>4059</v>
      </c>
      <c r="F943" s="2961">
        <v>44.22</v>
      </c>
    </row>
    <row r="944" spans="1:6">
      <c r="A944" s="2961">
        <v>942</v>
      </c>
      <c r="B944" s="2961" t="s">
        <v>4021</v>
      </c>
      <c r="C944" s="2961">
        <v>1</v>
      </c>
      <c r="D944" s="2961">
        <v>609</v>
      </c>
      <c r="E944" s="2961" t="s">
        <v>4060</v>
      </c>
      <c r="F944" s="2961">
        <v>41.33</v>
      </c>
    </row>
    <row r="945" spans="1:6">
      <c r="A945" s="2961">
        <v>943</v>
      </c>
      <c r="B945" s="2961" t="s">
        <v>4021</v>
      </c>
      <c r="C945" s="2961">
        <v>1</v>
      </c>
      <c r="D945" s="2961">
        <v>610</v>
      </c>
      <c r="E945" s="2961" t="s">
        <v>4061</v>
      </c>
      <c r="F945" s="2961">
        <v>41.33</v>
      </c>
    </row>
    <row r="946" spans="1:6">
      <c r="A946" s="2961">
        <v>944</v>
      </c>
      <c r="B946" s="2961" t="s">
        <v>4021</v>
      </c>
      <c r="C946" s="2961">
        <v>1</v>
      </c>
      <c r="D946" s="2961">
        <v>701</v>
      </c>
      <c r="E946" s="2961" t="s">
        <v>4062</v>
      </c>
      <c r="F946" s="2961">
        <v>53.08</v>
      </c>
    </row>
    <row r="947" spans="1:6">
      <c r="A947" s="2961">
        <v>945</v>
      </c>
      <c r="B947" s="2961" t="s">
        <v>4021</v>
      </c>
      <c r="C947" s="2961">
        <v>1</v>
      </c>
      <c r="D947" s="2961">
        <v>702</v>
      </c>
      <c r="E947" s="2961" t="s">
        <v>4063</v>
      </c>
      <c r="F947" s="2961">
        <v>54.32</v>
      </c>
    </row>
    <row r="948" spans="1:6">
      <c r="A948" s="2961">
        <v>946</v>
      </c>
      <c r="B948" s="2961" t="s">
        <v>4021</v>
      </c>
      <c r="C948" s="2961">
        <v>1</v>
      </c>
      <c r="D948" s="2961">
        <v>703</v>
      </c>
      <c r="E948" s="2961" t="s">
        <v>4064</v>
      </c>
      <c r="F948" s="2961">
        <v>54.32</v>
      </c>
    </row>
    <row r="949" spans="1:6">
      <c r="A949" s="2961">
        <v>947</v>
      </c>
      <c r="B949" s="2961" t="s">
        <v>4021</v>
      </c>
      <c r="C949" s="2961">
        <v>1</v>
      </c>
      <c r="D949" s="2961">
        <v>704</v>
      </c>
      <c r="E949" s="2961" t="s">
        <v>4065</v>
      </c>
      <c r="F949" s="2961">
        <v>54.32</v>
      </c>
    </row>
    <row r="950" spans="1:6">
      <c r="A950" s="2961">
        <v>948</v>
      </c>
      <c r="B950" s="2961" t="s">
        <v>4021</v>
      </c>
      <c r="C950" s="2961">
        <v>1</v>
      </c>
      <c r="D950" s="2961">
        <v>705</v>
      </c>
      <c r="E950" s="2961" t="s">
        <v>4066</v>
      </c>
      <c r="F950" s="2961">
        <v>54.32</v>
      </c>
    </row>
    <row r="951" spans="1:6">
      <c r="A951" s="2961">
        <v>949</v>
      </c>
      <c r="B951" s="2961" t="s">
        <v>4021</v>
      </c>
      <c r="C951" s="2961">
        <v>1</v>
      </c>
      <c r="D951" s="2961">
        <v>709</v>
      </c>
      <c r="E951" s="2961" t="s">
        <v>4067</v>
      </c>
      <c r="F951" s="2961">
        <v>41.33</v>
      </c>
    </row>
    <row r="952" spans="1:6">
      <c r="A952" s="2961">
        <v>950</v>
      </c>
      <c r="B952" s="2961" t="s">
        <v>4021</v>
      </c>
      <c r="C952" s="2961">
        <v>1</v>
      </c>
      <c r="D952" s="2961">
        <v>710</v>
      </c>
      <c r="E952" s="2961" t="s">
        <v>4068</v>
      </c>
      <c r="F952" s="2961">
        <v>41.33</v>
      </c>
    </row>
    <row r="953" spans="1:6">
      <c r="A953" s="2961">
        <v>951</v>
      </c>
      <c r="B953" s="2961" t="s">
        <v>4021</v>
      </c>
      <c r="C953" s="2961">
        <v>1</v>
      </c>
      <c r="D953" s="2961">
        <v>802</v>
      </c>
      <c r="E953" s="2961" t="s">
        <v>4069</v>
      </c>
      <c r="F953" s="2961">
        <v>54.32</v>
      </c>
    </row>
    <row r="954" spans="1:6">
      <c r="A954" s="2961">
        <v>952</v>
      </c>
      <c r="B954" s="2961" t="s">
        <v>4021</v>
      </c>
      <c r="C954" s="2961">
        <v>1</v>
      </c>
      <c r="D954" s="2961">
        <v>803</v>
      </c>
      <c r="E954" s="2961" t="s">
        <v>4070</v>
      </c>
      <c r="F954" s="2961">
        <v>54.32</v>
      </c>
    </row>
    <row r="955" spans="1:6">
      <c r="A955" s="2961">
        <v>953</v>
      </c>
      <c r="B955" s="2961" t="s">
        <v>4021</v>
      </c>
      <c r="C955" s="2961">
        <v>1</v>
      </c>
      <c r="D955" s="2961">
        <v>804</v>
      </c>
      <c r="E955" s="2961" t="s">
        <v>4071</v>
      </c>
      <c r="F955" s="2961">
        <v>54.32</v>
      </c>
    </row>
    <row r="956" spans="1:6">
      <c r="A956" s="2961">
        <v>954</v>
      </c>
      <c r="B956" s="2961" t="s">
        <v>4021</v>
      </c>
      <c r="C956" s="2961">
        <v>1</v>
      </c>
      <c r="D956" s="2961">
        <v>805</v>
      </c>
      <c r="E956" s="2961" t="s">
        <v>4072</v>
      </c>
      <c r="F956" s="2961">
        <v>54.32</v>
      </c>
    </row>
    <row r="957" spans="1:6">
      <c r="A957" s="2961">
        <v>955</v>
      </c>
      <c r="B957" s="2961" t="s">
        <v>4021</v>
      </c>
      <c r="C957" s="2961">
        <v>1</v>
      </c>
      <c r="D957" s="2961">
        <v>806</v>
      </c>
      <c r="E957" s="2961" t="s">
        <v>4073</v>
      </c>
      <c r="F957" s="2961">
        <v>44.22</v>
      </c>
    </row>
    <row r="958" spans="1:6">
      <c r="A958" s="2961">
        <v>956</v>
      </c>
      <c r="B958" s="2961" t="s">
        <v>4021</v>
      </c>
      <c r="C958" s="2961">
        <v>1</v>
      </c>
      <c r="D958" s="2961">
        <v>811</v>
      </c>
      <c r="E958" s="2961" t="s">
        <v>4074</v>
      </c>
      <c r="F958" s="2961">
        <v>41.33</v>
      </c>
    </row>
    <row r="959" spans="1:6">
      <c r="A959" s="2961">
        <v>957</v>
      </c>
      <c r="B959" s="2961" t="s">
        <v>4021</v>
      </c>
      <c r="C959" s="2961">
        <v>1</v>
      </c>
      <c r="D959" s="2961">
        <v>901</v>
      </c>
      <c r="E959" s="2961" t="s">
        <v>4075</v>
      </c>
      <c r="F959" s="2961">
        <v>53.08</v>
      </c>
    </row>
    <row r="960" spans="1:6">
      <c r="A960" s="2961">
        <v>958</v>
      </c>
      <c r="B960" s="2961" t="s">
        <v>4021</v>
      </c>
      <c r="C960" s="2961">
        <v>1</v>
      </c>
      <c r="D960" s="2961">
        <v>904</v>
      </c>
      <c r="E960" s="2961" t="s">
        <v>4076</v>
      </c>
      <c r="F960" s="2961">
        <v>54.32</v>
      </c>
    </row>
    <row r="961" spans="1:6">
      <c r="A961" s="2961">
        <v>959</v>
      </c>
      <c r="B961" s="2961" t="s">
        <v>4021</v>
      </c>
      <c r="C961" s="2961">
        <v>1</v>
      </c>
      <c r="D961" s="2961">
        <v>905</v>
      </c>
      <c r="E961" s="2961" t="s">
        <v>4077</v>
      </c>
      <c r="F961" s="2961">
        <v>54.32</v>
      </c>
    </row>
    <row r="962" spans="1:6">
      <c r="A962" s="2961">
        <v>960</v>
      </c>
      <c r="B962" s="2961" t="s">
        <v>4021</v>
      </c>
      <c r="C962" s="2961">
        <v>1</v>
      </c>
      <c r="D962" s="2961">
        <v>906</v>
      </c>
      <c r="E962" s="2961" t="s">
        <v>4078</v>
      </c>
      <c r="F962" s="2961">
        <v>44.22</v>
      </c>
    </row>
    <row r="963" spans="1:6">
      <c r="A963" s="2961">
        <v>961</v>
      </c>
      <c r="B963" s="2961" t="s">
        <v>4021</v>
      </c>
      <c r="C963" s="2961">
        <v>1</v>
      </c>
      <c r="D963" s="2961">
        <v>909</v>
      </c>
      <c r="E963" s="2961" t="s">
        <v>4079</v>
      </c>
      <c r="F963" s="2961">
        <v>41.33</v>
      </c>
    </row>
    <row r="964" spans="1:6">
      <c r="A964" s="2961">
        <v>962</v>
      </c>
      <c r="B964" s="2961" t="s">
        <v>4021</v>
      </c>
      <c r="C964" s="2961">
        <v>1</v>
      </c>
      <c r="D964" s="2961">
        <v>910</v>
      </c>
      <c r="E964" s="2961" t="s">
        <v>4080</v>
      </c>
      <c r="F964" s="2961">
        <v>41.33</v>
      </c>
    </row>
    <row r="965" spans="1:6">
      <c r="A965" s="2961">
        <v>963</v>
      </c>
      <c r="B965" s="2961" t="s">
        <v>4021</v>
      </c>
      <c r="C965" s="2961">
        <v>1</v>
      </c>
      <c r="D965" s="2961">
        <v>911</v>
      </c>
      <c r="E965" s="2961" t="s">
        <v>4081</v>
      </c>
      <c r="F965" s="2961">
        <v>41.33</v>
      </c>
    </row>
    <row r="966" spans="1:6">
      <c r="A966" s="2961">
        <v>964</v>
      </c>
      <c r="B966" s="2961" t="s">
        <v>4021</v>
      </c>
      <c r="C966" s="2961">
        <v>1</v>
      </c>
      <c r="D966" s="2961">
        <v>1003</v>
      </c>
      <c r="E966" s="2961" t="s">
        <v>4082</v>
      </c>
      <c r="F966" s="2961">
        <v>54.32</v>
      </c>
    </row>
    <row r="967" spans="1:6">
      <c r="A967" s="2961">
        <v>965</v>
      </c>
      <c r="B967" s="2961" t="s">
        <v>4021</v>
      </c>
      <c r="C967" s="2961">
        <v>1</v>
      </c>
      <c r="D967" s="2961">
        <v>1005</v>
      </c>
      <c r="E967" s="2961" t="s">
        <v>4083</v>
      </c>
      <c r="F967" s="2961">
        <v>54.32</v>
      </c>
    </row>
    <row r="968" spans="1:6">
      <c r="A968" s="2961">
        <v>966</v>
      </c>
      <c r="B968" s="2961" t="s">
        <v>4021</v>
      </c>
      <c r="C968" s="2961">
        <v>1</v>
      </c>
      <c r="D968" s="2961">
        <v>1006</v>
      </c>
      <c r="E968" s="2961" t="s">
        <v>4084</v>
      </c>
      <c r="F968" s="2961">
        <v>44.22</v>
      </c>
    </row>
    <row r="969" spans="1:6">
      <c r="A969" s="2961">
        <v>967</v>
      </c>
      <c r="B969" s="2961" t="s">
        <v>4021</v>
      </c>
      <c r="C969" s="2961">
        <v>1</v>
      </c>
      <c r="D969" s="2961">
        <v>1008</v>
      </c>
      <c r="E969" s="2961" t="s">
        <v>4085</v>
      </c>
      <c r="F969" s="2961">
        <v>41.33</v>
      </c>
    </row>
    <row r="970" spans="1:6">
      <c r="A970" s="2961">
        <v>968</v>
      </c>
      <c r="B970" s="2961" t="s">
        <v>4021</v>
      </c>
      <c r="C970" s="2961">
        <v>1</v>
      </c>
      <c r="D970" s="2961">
        <v>1010</v>
      </c>
      <c r="E970" s="2961" t="s">
        <v>4086</v>
      </c>
      <c r="F970" s="2961">
        <v>41.33</v>
      </c>
    </row>
    <row r="971" spans="1:6">
      <c r="A971" s="2961">
        <v>969</v>
      </c>
      <c r="B971" s="2961" t="s">
        <v>4021</v>
      </c>
      <c r="C971" s="2961">
        <v>1</v>
      </c>
      <c r="D971" s="2961">
        <v>1102</v>
      </c>
      <c r="E971" s="2961" t="s">
        <v>4087</v>
      </c>
      <c r="F971" s="2961">
        <v>54.32</v>
      </c>
    </row>
    <row r="972" spans="1:6">
      <c r="A972" s="2961">
        <v>970</v>
      </c>
      <c r="B972" s="2961" t="s">
        <v>4021</v>
      </c>
      <c r="C972" s="2961">
        <v>1</v>
      </c>
      <c r="D972" s="2961">
        <v>1104</v>
      </c>
      <c r="E972" s="2961" t="s">
        <v>4088</v>
      </c>
      <c r="F972" s="2961">
        <v>54.32</v>
      </c>
    </row>
    <row r="973" spans="1:6">
      <c r="A973" s="2961">
        <v>971</v>
      </c>
      <c r="B973" s="2961" t="s">
        <v>4021</v>
      </c>
      <c r="C973" s="2961">
        <v>1</v>
      </c>
      <c r="D973" s="2961">
        <v>1110</v>
      </c>
      <c r="E973" s="2961" t="s">
        <v>4089</v>
      </c>
      <c r="F973" s="2961">
        <v>41.33</v>
      </c>
    </row>
    <row r="974" spans="1:6">
      <c r="A974" s="2961">
        <v>972</v>
      </c>
      <c r="B974" s="2961" t="s">
        <v>4021</v>
      </c>
      <c r="C974" s="2961">
        <v>1</v>
      </c>
      <c r="D974" s="2961">
        <v>1202</v>
      </c>
      <c r="E974" s="2961" t="s">
        <v>4090</v>
      </c>
      <c r="F974" s="2961">
        <v>54.32</v>
      </c>
    </row>
    <row r="975" spans="1:6">
      <c r="A975" s="2961">
        <v>973</v>
      </c>
      <c r="B975" s="2961" t="s">
        <v>4021</v>
      </c>
      <c r="C975" s="2961">
        <v>1</v>
      </c>
      <c r="D975" s="2961">
        <v>1203</v>
      </c>
      <c r="E975" s="2961" t="s">
        <v>4091</v>
      </c>
      <c r="F975" s="2961">
        <v>54.32</v>
      </c>
    </row>
    <row r="976" spans="1:6">
      <c r="A976" s="2961">
        <v>974</v>
      </c>
      <c r="B976" s="2961" t="s">
        <v>4021</v>
      </c>
      <c r="C976" s="2961">
        <v>1</v>
      </c>
      <c r="D976" s="2961">
        <v>1204</v>
      </c>
      <c r="E976" s="2961" t="s">
        <v>4092</v>
      </c>
      <c r="F976" s="2961">
        <v>54.32</v>
      </c>
    </row>
    <row r="977" spans="1:6">
      <c r="A977" s="2961">
        <v>975</v>
      </c>
      <c r="B977" s="2961" t="s">
        <v>4021</v>
      </c>
      <c r="C977" s="2961">
        <v>1</v>
      </c>
      <c r="D977" s="2961">
        <v>1205</v>
      </c>
      <c r="E977" s="2961" t="s">
        <v>4093</v>
      </c>
      <c r="F977" s="2961">
        <v>54.32</v>
      </c>
    </row>
    <row r="978" spans="1:6">
      <c r="A978" s="2961">
        <v>976</v>
      </c>
      <c r="B978" s="2961" t="s">
        <v>4021</v>
      </c>
      <c r="C978" s="2961">
        <v>1</v>
      </c>
      <c r="D978" s="2961">
        <v>1206</v>
      </c>
      <c r="E978" s="2961" t="s">
        <v>4094</v>
      </c>
      <c r="F978" s="2961">
        <v>44.22</v>
      </c>
    </row>
    <row r="979" spans="1:6">
      <c r="A979" s="2961">
        <v>977</v>
      </c>
      <c r="B979" s="2961" t="s">
        <v>4021</v>
      </c>
      <c r="C979" s="2961">
        <v>1</v>
      </c>
      <c r="D979" s="2961">
        <v>1211</v>
      </c>
      <c r="E979" s="2961" t="s">
        <v>4095</v>
      </c>
      <c r="F979" s="2961">
        <v>41.33</v>
      </c>
    </row>
    <row r="980" spans="1:6">
      <c r="A980" s="2961">
        <v>978</v>
      </c>
      <c r="B980" s="2961" t="s">
        <v>4021</v>
      </c>
      <c r="C980" s="2961">
        <v>1</v>
      </c>
      <c r="D980" s="2961">
        <v>1301</v>
      </c>
      <c r="E980" s="2961" t="s">
        <v>4096</v>
      </c>
      <c r="F980" s="2961">
        <v>53.08</v>
      </c>
    </row>
    <row r="981" spans="1:6">
      <c r="A981" s="2961">
        <v>979</v>
      </c>
      <c r="B981" s="2961" t="s">
        <v>4021</v>
      </c>
      <c r="C981" s="2961">
        <v>1</v>
      </c>
      <c r="D981" s="2961">
        <v>1302</v>
      </c>
      <c r="E981" s="2961" t="s">
        <v>4097</v>
      </c>
      <c r="F981" s="2961">
        <v>54.32</v>
      </c>
    </row>
    <row r="982" spans="1:6">
      <c r="A982" s="2961">
        <v>980</v>
      </c>
      <c r="B982" s="2961" t="s">
        <v>4021</v>
      </c>
      <c r="C982" s="2961">
        <v>1</v>
      </c>
      <c r="D982" s="2961">
        <v>1303</v>
      </c>
      <c r="E982" s="2961" t="s">
        <v>4098</v>
      </c>
      <c r="F982" s="2961">
        <v>54.32</v>
      </c>
    </row>
    <row r="983" spans="1:6">
      <c r="A983" s="2961">
        <v>981</v>
      </c>
      <c r="B983" s="2961" t="s">
        <v>4021</v>
      </c>
      <c r="C983" s="2961">
        <v>1</v>
      </c>
      <c r="D983" s="2961">
        <v>1304</v>
      </c>
      <c r="E983" s="2961" t="s">
        <v>4099</v>
      </c>
      <c r="F983" s="2961">
        <v>54.32</v>
      </c>
    </row>
    <row r="984" spans="1:6">
      <c r="A984" s="2961">
        <v>982</v>
      </c>
      <c r="B984" s="2961" t="s">
        <v>4021</v>
      </c>
      <c r="C984" s="2961">
        <v>1</v>
      </c>
      <c r="D984" s="2961">
        <v>1305</v>
      </c>
      <c r="E984" s="2961" t="s">
        <v>4100</v>
      </c>
      <c r="F984" s="2961">
        <v>54.32</v>
      </c>
    </row>
    <row r="985" spans="1:6">
      <c r="A985" s="2961">
        <v>983</v>
      </c>
      <c r="B985" s="2961" t="s">
        <v>4021</v>
      </c>
      <c r="C985" s="2961">
        <v>1</v>
      </c>
      <c r="D985" s="2961">
        <v>1307</v>
      </c>
      <c r="E985" s="2961" t="s">
        <v>4101</v>
      </c>
      <c r="F985" s="2961">
        <v>41.33</v>
      </c>
    </row>
    <row r="986" spans="1:6">
      <c r="A986" s="2961">
        <v>984</v>
      </c>
      <c r="B986" s="2961" t="s">
        <v>4021</v>
      </c>
      <c r="C986" s="2961">
        <v>1</v>
      </c>
      <c r="D986" s="2961">
        <v>1308</v>
      </c>
      <c r="E986" s="2961" t="s">
        <v>4102</v>
      </c>
      <c r="F986" s="2961">
        <v>41.33</v>
      </c>
    </row>
    <row r="987" spans="1:6">
      <c r="A987" s="2961">
        <v>985</v>
      </c>
      <c r="B987" s="2961" t="s">
        <v>4021</v>
      </c>
      <c r="C987" s="2961">
        <v>1</v>
      </c>
      <c r="D987" s="2961">
        <v>1309</v>
      </c>
      <c r="E987" s="2961" t="s">
        <v>4103</v>
      </c>
      <c r="F987" s="2961">
        <v>41.33</v>
      </c>
    </row>
    <row r="988" spans="1:6">
      <c r="A988" s="2961">
        <v>986</v>
      </c>
      <c r="B988" s="2961" t="s">
        <v>4021</v>
      </c>
      <c r="C988" s="2961">
        <v>1</v>
      </c>
      <c r="D988" s="2961">
        <v>1310</v>
      </c>
      <c r="E988" s="2961" t="s">
        <v>4104</v>
      </c>
      <c r="F988" s="2961">
        <v>41.33</v>
      </c>
    </row>
    <row r="989" spans="1:6">
      <c r="A989" s="2961">
        <v>987</v>
      </c>
      <c r="B989" s="2961" t="s">
        <v>4021</v>
      </c>
      <c r="C989" s="2961">
        <v>1</v>
      </c>
      <c r="D989" s="2961">
        <v>1311</v>
      </c>
      <c r="E989" s="2961" t="s">
        <v>4105</v>
      </c>
      <c r="F989" s="2961">
        <v>41.33</v>
      </c>
    </row>
    <row r="990" spans="1:6">
      <c r="A990" s="2961">
        <v>988</v>
      </c>
      <c r="B990" s="2961" t="s">
        <v>4021</v>
      </c>
      <c r="C990" s="2961">
        <v>1</v>
      </c>
      <c r="D990" s="2961">
        <v>1402</v>
      </c>
      <c r="E990" s="2961" t="s">
        <v>4106</v>
      </c>
      <c r="F990" s="2961">
        <v>54.32</v>
      </c>
    </row>
    <row r="991" spans="1:6">
      <c r="A991" s="2961">
        <v>989</v>
      </c>
      <c r="B991" s="2961" t="s">
        <v>4021</v>
      </c>
      <c r="C991" s="2961">
        <v>1</v>
      </c>
      <c r="D991" s="2961">
        <v>1403</v>
      </c>
      <c r="E991" s="2961" t="s">
        <v>4107</v>
      </c>
      <c r="F991" s="2961">
        <v>54.32</v>
      </c>
    </row>
    <row r="992" spans="1:6">
      <c r="A992" s="2961">
        <v>990</v>
      </c>
      <c r="B992" s="2961" t="s">
        <v>4021</v>
      </c>
      <c r="C992" s="2961">
        <v>1</v>
      </c>
      <c r="D992" s="2961">
        <v>1404</v>
      </c>
      <c r="E992" s="2961" t="s">
        <v>4108</v>
      </c>
      <c r="F992" s="2961">
        <v>54.32</v>
      </c>
    </row>
    <row r="993" spans="1:6">
      <c r="A993" s="2961">
        <v>991</v>
      </c>
      <c r="B993" s="2961" t="s">
        <v>4021</v>
      </c>
      <c r="C993" s="2961">
        <v>1</v>
      </c>
      <c r="D993" s="2961">
        <v>1405</v>
      </c>
      <c r="E993" s="2961" t="s">
        <v>4109</v>
      </c>
      <c r="F993" s="2961">
        <v>54.32</v>
      </c>
    </row>
    <row r="994" spans="1:6">
      <c r="A994" s="2961">
        <v>992</v>
      </c>
      <c r="B994" s="2961" t="s">
        <v>4021</v>
      </c>
      <c r="C994" s="2961">
        <v>1</v>
      </c>
      <c r="D994" s="2961">
        <v>1407</v>
      </c>
      <c r="E994" s="2961" t="s">
        <v>4110</v>
      </c>
      <c r="F994" s="2961">
        <v>41.33</v>
      </c>
    </row>
    <row r="995" spans="1:6">
      <c r="A995" s="2961">
        <v>993</v>
      </c>
      <c r="B995" s="2961" t="s">
        <v>4021</v>
      </c>
      <c r="C995" s="2961">
        <v>1</v>
      </c>
      <c r="D995" s="2961">
        <v>1408</v>
      </c>
      <c r="E995" s="2961" t="s">
        <v>4111</v>
      </c>
      <c r="F995" s="2961">
        <v>41.33</v>
      </c>
    </row>
    <row r="996" spans="1:6">
      <c r="A996" s="2961">
        <v>994</v>
      </c>
      <c r="B996" s="2961" t="s">
        <v>4021</v>
      </c>
      <c r="C996" s="2961">
        <v>1</v>
      </c>
      <c r="D996" s="2961">
        <v>1409</v>
      </c>
      <c r="E996" s="2961" t="s">
        <v>4112</v>
      </c>
      <c r="F996" s="2961">
        <v>41.33</v>
      </c>
    </row>
    <row r="997" spans="1:6">
      <c r="A997" s="2961">
        <v>995</v>
      </c>
      <c r="B997" s="2961" t="s">
        <v>4021</v>
      </c>
      <c r="C997" s="2961">
        <v>1</v>
      </c>
      <c r="D997" s="2961">
        <v>1410</v>
      </c>
      <c r="E997" s="2961" t="s">
        <v>4113</v>
      </c>
      <c r="F997" s="2961">
        <v>41.33</v>
      </c>
    </row>
    <row r="998" spans="1:6">
      <c r="A998" s="2961">
        <v>996</v>
      </c>
      <c r="B998" s="2961" t="s">
        <v>4021</v>
      </c>
      <c r="C998" s="2961">
        <v>1</v>
      </c>
      <c r="D998" s="2961">
        <v>1411</v>
      </c>
      <c r="E998" s="2961" t="s">
        <v>4114</v>
      </c>
      <c r="F998" s="2961">
        <v>41.33</v>
      </c>
    </row>
    <row r="999" spans="1:6">
      <c r="A999" s="2961">
        <v>997</v>
      </c>
      <c r="B999" s="2961" t="s">
        <v>4021</v>
      </c>
      <c r="C999" s="2961">
        <v>1</v>
      </c>
      <c r="D999" s="2961">
        <v>1505</v>
      </c>
      <c r="E999" s="2961" t="s">
        <v>4115</v>
      </c>
      <c r="F999" s="2961">
        <v>54.32</v>
      </c>
    </row>
    <row r="1000" spans="1:6">
      <c r="A1000" s="2961">
        <v>998</v>
      </c>
      <c r="B1000" s="2961" t="s">
        <v>4021</v>
      </c>
      <c r="C1000" s="2961">
        <v>1</v>
      </c>
      <c r="D1000" s="2961">
        <v>1507</v>
      </c>
      <c r="E1000" s="2961" t="s">
        <v>4116</v>
      </c>
      <c r="F1000" s="2961">
        <v>41.33</v>
      </c>
    </row>
    <row r="1001" spans="1:6">
      <c r="A1001" s="2961">
        <v>999</v>
      </c>
      <c r="B1001" s="2961" t="s">
        <v>4021</v>
      </c>
      <c r="C1001" s="2961">
        <v>1</v>
      </c>
      <c r="D1001" s="2961">
        <v>1508</v>
      </c>
      <c r="E1001" s="2961" t="s">
        <v>4117</v>
      </c>
      <c r="F1001" s="2961">
        <v>41.33</v>
      </c>
    </row>
    <row r="1002" spans="1:6">
      <c r="A1002" s="2961">
        <v>1000</v>
      </c>
      <c r="B1002" s="2961" t="s">
        <v>4021</v>
      </c>
      <c r="C1002" s="2961">
        <v>1</v>
      </c>
      <c r="D1002" s="2961">
        <v>1509</v>
      </c>
      <c r="E1002" s="2961" t="s">
        <v>4118</v>
      </c>
      <c r="F1002" s="2961">
        <v>41.33</v>
      </c>
    </row>
    <row r="1003" spans="1:6">
      <c r="A1003" s="2961">
        <v>1001</v>
      </c>
      <c r="B1003" s="2961" t="s">
        <v>4021</v>
      </c>
      <c r="C1003" s="2961">
        <v>1</v>
      </c>
      <c r="D1003" s="2961">
        <v>1510</v>
      </c>
      <c r="E1003" s="2961" t="s">
        <v>4119</v>
      </c>
      <c r="F1003" s="2961">
        <v>41.33</v>
      </c>
    </row>
    <row r="1004" spans="1:6">
      <c r="A1004" s="2961">
        <v>1002</v>
      </c>
      <c r="B1004" s="2961" t="s">
        <v>4021</v>
      </c>
      <c r="C1004" s="2961">
        <v>1</v>
      </c>
      <c r="D1004" s="2961">
        <v>1601</v>
      </c>
      <c r="E1004" s="2961" t="s">
        <v>4120</v>
      </c>
      <c r="F1004" s="2961">
        <v>53.08</v>
      </c>
    </row>
    <row r="1005" spans="1:6">
      <c r="A1005" s="2961">
        <v>1003</v>
      </c>
      <c r="B1005" s="2961" t="s">
        <v>4021</v>
      </c>
      <c r="C1005" s="2961">
        <v>1</v>
      </c>
      <c r="D1005" s="2961">
        <v>1602</v>
      </c>
      <c r="E1005" s="2961" t="s">
        <v>4121</v>
      </c>
      <c r="F1005" s="2961">
        <v>54.32</v>
      </c>
    </row>
    <row r="1006" spans="1:6">
      <c r="A1006" s="2961">
        <v>1004</v>
      </c>
      <c r="B1006" s="2961" t="s">
        <v>4021</v>
      </c>
      <c r="C1006" s="2961">
        <v>1</v>
      </c>
      <c r="D1006" s="2961">
        <v>1604</v>
      </c>
      <c r="E1006" s="2961" t="s">
        <v>4122</v>
      </c>
      <c r="F1006" s="2961">
        <v>54.32</v>
      </c>
    </row>
    <row r="1007" spans="1:6">
      <c r="A1007" s="2961">
        <v>1005</v>
      </c>
      <c r="B1007" s="2961" t="s">
        <v>4021</v>
      </c>
      <c r="C1007" s="2961">
        <v>1</v>
      </c>
      <c r="D1007" s="2961">
        <v>1605</v>
      </c>
      <c r="E1007" s="2961" t="s">
        <v>4123</v>
      </c>
      <c r="F1007" s="2961">
        <v>54.32</v>
      </c>
    </row>
    <row r="1008" spans="1:6">
      <c r="A1008" s="2961">
        <v>1006</v>
      </c>
      <c r="B1008" s="2961" t="s">
        <v>4021</v>
      </c>
      <c r="C1008" s="2961">
        <v>1</v>
      </c>
      <c r="D1008" s="2961">
        <v>1607</v>
      </c>
      <c r="E1008" s="2961" t="s">
        <v>4124</v>
      </c>
      <c r="F1008" s="2961">
        <v>41.33</v>
      </c>
    </row>
    <row r="1009" spans="1:6">
      <c r="A1009" s="2961">
        <v>1007</v>
      </c>
      <c r="B1009" s="2961" t="s">
        <v>4021</v>
      </c>
      <c r="C1009" s="2961">
        <v>1</v>
      </c>
      <c r="D1009" s="2961">
        <v>1610</v>
      </c>
      <c r="E1009" s="2961" t="s">
        <v>4125</v>
      </c>
      <c r="F1009" s="2961">
        <v>41.33</v>
      </c>
    </row>
    <row r="1010" spans="1:6">
      <c r="A1010" s="2961">
        <v>1008</v>
      </c>
      <c r="B1010" s="2961" t="s">
        <v>4021</v>
      </c>
      <c r="C1010" s="2961">
        <v>1</v>
      </c>
      <c r="D1010" s="2961">
        <v>1611</v>
      </c>
      <c r="E1010" s="2961" t="s">
        <v>4126</v>
      </c>
      <c r="F1010" s="2961">
        <v>41.33</v>
      </c>
    </row>
    <row r="1011" spans="1:6">
      <c r="A1011" s="2961">
        <v>1009</v>
      </c>
      <c r="B1011" s="2961" t="s">
        <v>4021</v>
      </c>
      <c r="C1011" s="2961">
        <v>1</v>
      </c>
      <c r="D1011" s="2961">
        <v>1702</v>
      </c>
      <c r="E1011" s="2961" t="s">
        <v>4127</v>
      </c>
      <c r="F1011" s="2961">
        <v>54.32</v>
      </c>
    </row>
    <row r="1012" spans="1:6">
      <c r="A1012" s="2961">
        <v>1010</v>
      </c>
      <c r="B1012" s="2961" t="s">
        <v>4021</v>
      </c>
      <c r="C1012" s="2961">
        <v>1</v>
      </c>
      <c r="D1012" s="2961">
        <v>1703</v>
      </c>
      <c r="E1012" s="2961" t="s">
        <v>4128</v>
      </c>
      <c r="F1012" s="2961">
        <v>54.32</v>
      </c>
    </row>
    <row r="1013" spans="1:6">
      <c r="A1013" s="2961">
        <v>1011</v>
      </c>
      <c r="B1013" s="2961" t="s">
        <v>4021</v>
      </c>
      <c r="C1013" s="2961">
        <v>1</v>
      </c>
      <c r="D1013" s="2961">
        <v>1704</v>
      </c>
      <c r="E1013" s="2961" t="s">
        <v>4129</v>
      </c>
      <c r="F1013" s="2961">
        <v>54.32</v>
      </c>
    </row>
    <row r="1014" spans="1:6">
      <c r="A1014" s="2961">
        <v>1012</v>
      </c>
      <c r="B1014" s="2961" t="s">
        <v>4021</v>
      </c>
      <c r="C1014" s="2961">
        <v>1</v>
      </c>
      <c r="D1014" s="2961">
        <v>1707</v>
      </c>
      <c r="E1014" s="2961" t="s">
        <v>4130</v>
      </c>
      <c r="F1014" s="2961">
        <v>41.33</v>
      </c>
    </row>
    <row r="1015" spans="1:6">
      <c r="A1015" s="2961">
        <v>1013</v>
      </c>
      <c r="B1015" s="2961" t="s">
        <v>4021</v>
      </c>
      <c r="C1015" s="2961">
        <v>1</v>
      </c>
      <c r="D1015" s="2961">
        <v>1708</v>
      </c>
      <c r="E1015" s="2961" t="s">
        <v>4131</v>
      </c>
      <c r="F1015" s="2961">
        <v>41.33</v>
      </c>
    </row>
    <row r="1016" spans="1:6">
      <c r="A1016" s="2961">
        <v>1014</v>
      </c>
      <c r="B1016" s="2961" t="s">
        <v>4021</v>
      </c>
      <c r="C1016" s="2961">
        <v>1</v>
      </c>
      <c r="D1016" s="2961">
        <v>1709</v>
      </c>
      <c r="E1016" s="2961" t="s">
        <v>4132</v>
      </c>
      <c r="F1016" s="2961">
        <v>41.33</v>
      </c>
    </row>
    <row r="1017" spans="1:6">
      <c r="A1017" s="2961">
        <v>1015</v>
      </c>
      <c r="B1017" s="2961" t="s">
        <v>4021</v>
      </c>
      <c r="C1017" s="2961">
        <v>1</v>
      </c>
      <c r="D1017" s="2961">
        <v>1710</v>
      </c>
      <c r="E1017" s="2961" t="s">
        <v>4133</v>
      </c>
      <c r="F1017" s="2961">
        <v>41.33</v>
      </c>
    </row>
    <row r="1018" spans="1:6">
      <c r="A1018" s="2961">
        <v>1016</v>
      </c>
      <c r="B1018" s="2961" t="s">
        <v>4021</v>
      </c>
      <c r="C1018" s="2961">
        <v>1</v>
      </c>
      <c r="D1018" s="2961">
        <v>1801</v>
      </c>
      <c r="E1018" s="2961" t="s">
        <v>4134</v>
      </c>
      <c r="F1018" s="2961">
        <v>53.08</v>
      </c>
    </row>
    <row r="1019" spans="1:6">
      <c r="A1019" s="2961">
        <v>1017</v>
      </c>
      <c r="B1019" s="2961" t="s">
        <v>4021</v>
      </c>
      <c r="C1019" s="2961">
        <v>1</v>
      </c>
      <c r="D1019" s="2961">
        <v>1802</v>
      </c>
      <c r="E1019" s="2961" t="s">
        <v>4135</v>
      </c>
      <c r="F1019" s="2961">
        <v>54.32</v>
      </c>
    </row>
    <row r="1020" spans="1:6">
      <c r="A1020" s="2961">
        <v>1018</v>
      </c>
      <c r="B1020" s="2961" t="s">
        <v>4021</v>
      </c>
      <c r="C1020" s="2961">
        <v>1</v>
      </c>
      <c r="D1020" s="2961">
        <v>1804</v>
      </c>
      <c r="E1020" s="2961" t="s">
        <v>4136</v>
      </c>
      <c r="F1020" s="2961">
        <v>54.32</v>
      </c>
    </row>
    <row r="1021" spans="1:6">
      <c r="A1021" s="2961">
        <v>1019</v>
      </c>
      <c r="B1021" s="2961" t="s">
        <v>4021</v>
      </c>
      <c r="C1021" s="2961">
        <v>1</v>
      </c>
      <c r="D1021" s="2961">
        <v>1805</v>
      </c>
      <c r="E1021" s="2961" t="s">
        <v>4137</v>
      </c>
      <c r="F1021" s="2961">
        <v>54.32</v>
      </c>
    </row>
    <row r="1022" spans="1:6">
      <c r="A1022" s="2961">
        <v>1020</v>
      </c>
      <c r="B1022" s="2961" t="s">
        <v>4021</v>
      </c>
      <c r="C1022" s="2961">
        <v>1</v>
      </c>
      <c r="D1022" s="2961">
        <v>1806</v>
      </c>
      <c r="E1022" s="2961" t="s">
        <v>4138</v>
      </c>
      <c r="F1022" s="2961">
        <v>44.22</v>
      </c>
    </row>
    <row r="1023" spans="1:6">
      <c r="A1023" s="2961">
        <v>1021</v>
      </c>
      <c r="B1023" s="2961" t="s">
        <v>4021</v>
      </c>
      <c r="C1023" s="2961">
        <v>1</v>
      </c>
      <c r="D1023" s="2961">
        <v>1807</v>
      </c>
      <c r="E1023" s="2961" t="s">
        <v>4139</v>
      </c>
      <c r="F1023" s="2961">
        <v>41.33</v>
      </c>
    </row>
    <row r="1024" spans="1:6">
      <c r="A1024" s="2961">
        <v>1022</v>
      </c>
      <c r="B1024" s="2961" t="s">
        <v>4021</v>
      </c>
      <c r="C1024" s="2961">
        <v>1</v>
      </c>
      <c r="D1024" s="2961">
        <v>1810</v>
      </c>
      <c r="E1024" s="2961" t="s">
        <v>4140</v>
      </c>
      <c r="F1024" s="2961">
        <v>41.33</v>
      </c>
    </row>
    <row r="1025" spans="1:6">
      <c r="A1025" s="2961">
        <v>1023</v>
      </c>
      <c r="B1025" s="2961" t="s">
        <v>4021</v>
      </c>
      <c r="C1025" s="2961">
        <v>1</v>
      </c>
      <c r="D1025" s="2961">
        <v>1902</v>
      </c>
      <c r="E1025" s="2961" t="s">
        <v>4141</v>
      </c>
      <c r="F1025" s="2961">
        <v>54.32</v>
      </c>
    </row>
    <row r="1026" spans="1:6">
      <c r="A1026" s="2961">
        <v>1024</v>
      </c>
      <c r="B1026" s="2961" t="s">
        <v>4021</v>
      </c>
      <c r="C1026" s="2961">
        <v>1</v>
      </c>
      <c r="D1026" s="2961">
        <v>1905</v>
      </c>
      <c r="E1026" s="2961" t="s">
        <v>4142</v>
      </c>
      <c r="F1026" s="2961">
        <v>54.32</v>
      </c>
    </row>
    <row r="1027" spans="1:6">
      <c r="A1027" s="2961">
        <v>1025</v>
      </c>
      <c r="B1027" s="2961" t="s">
        <v>4021</v>
      </c>
      <c r="C1027" s="2961">
        <v>1</v>
      </c>
      <c r="D1027" s="2961">
        <v>1906</v>
      </c>
      <c r="E1027" s="2961" t="s">
        <v>4143</v>
      </c>
      <c r="F1027" s="2961">
        <v>44.22</v>
      </c>
    </row>
    <row r="1028" spans="1:6">
      <c r="A1028" s="2961">
        <v>1026</v>
      </c>
      <c r="B1028" s="2961" t="s">
        <v>4021</v>
      </c>
      <c r="C1028" s="2961">
        <v>1</v>
      </c>
      <c r="D1028" s="2961">
        <v>1907</v>
      </c>
      <c r="E1028" s="2961" t="s">
        <v>4144</v>
      </c>
      <c r="F1028" s="2961">
        <v>41.33</v>
      </c>
    </row>
    <row r="1029" spans="1:6">
      <c r="A1029" s="2961">
        <v>1027</v>
      </c>
      <c r="B1029" s="2961" t="s">
        <v>4021</v>
      </c>
      <c r="C1029" s="2961">
        <v>1</v>
      </c>
      <c r="D1029" s="2961">
        <v>1908</v>
      </c>
      <c r="E1029" s="2961" t="s">
        <v>4145</v>
      </c>
      <c r="F1029" s="2961">
        <v>41.33</v>
      </c>
    </row>
    <row r="1030" spans="1:6">
      <c r="A1030" s="2961">
        <v>1028</v>
      </c>
      <c r="B1030" s="2961" t="s">
        <v>4021</v>
      </c>
      <c r="C1030" s="2961">
        <v>1</v>
      </c>
      <c r="D1030" s="2961">
        <v>1909</v>
      </c>
      <c r="E1030" s="2961" t="s">
        <v>4146</v>
      </c>
      <c r="F1030" s="2961">
        <v>41.33</v>
      </c>
    </row>
    <row r="1031" spans="1:6">
      <c r="A1031" s="2961">
        <v>1029</v>
      </c>
      <c r="B1031" s="2961" t="s">
        <v>4021</v>
      </c>
      <c r="C1031" s="2961">
        <v>1</v>
      </c>
      <c r="D1031" s="2961">
        <v>1910</v>
      </c>
      <c r="E1031" s="2961" t="s">
        <v>4147</v>
      </c>
      <c r="F1031" s="2961">
        <v>41.33</v>
      </c>
    </row>
    <row r="1032" spans="1:6">
      <c r="A1032" s="2961">
        <v>1030</v>
      </c>
      <c r="B1032" s="2961" t="s">
        <v>4021</v>
      </c>
      <c r="C1032" s="2961">
        <v>1</v>
      </c>
      <c r="D1032" s="2961">
        <v>2002</v>
      </c>
      <c r="E1032" s="2961" t="s">
        <v>4148</v>
      </c>
      <c r="F1032" s="2961">
        <v>54.32</v>
      </c>
    </row>
    <row r="1033" spans="1:6">
      <c r="A1033" s="2961">
        <v>1031</v>
      </c>
      <c r="B1033" s="2961" t="s">
        <v>4021</v>
      </c>
      <c r="C1033" s="2961">
        <v>1</v>
      </c>
      <c r="D1033" s="2961">
        <v>2003</v>
      </c>
      <c r="E1033" s="2961" t="s">
        <v>4149</v>
      </c>
      <c r="F1033" s="2961">
        <v>54.32</v>
      </c>
    </row>
    <row r="1034" spans="1:6">
      <c r="A1034" s="2961">
        <v>1032</v>
      </c>
      <c r="B1034" s="2961" t="s">
        <v>4021</v>
      </c>
      <c r="C1034" s="2961">
        <v>1</v>
      </c>
      <c r="D1034" s="2961">
        <v>2004</v>
      </c>
      <c r="E1034" s="2961" t="s">
        <v>4150</v>
      </c>
      <c r="F1034" s="2961">
        <v>54.32</v>
      </c>
    </row>
    <row r="1035" spans="1:6">
      <c r="A1035" s="2961">
        <v>1033</v>
      </c>
      <c r="B1035" s="2961" t="s">
        <v>4021</v>
      </c>
      <c r="C1035" s="2961">
        <v>1</v>
      </c>
      <c r="D1035" s="2961">
        <v>2005</v>
      </c>
      <c r="E1035" s="2961" t="s">
        <v>4151</v>
      </c>
      <c r="F1035" s="2961">
        <v>54.32</v>
      </c>
    </row>
    <row r="1036" spans="1:6">
      <c r="A1036" s="2961">
        <v>1034</v>
      </c>
      <c r="B1036" s="2961" t="s">
        <v>4021</v>
      </c>
      <c r="C1036" s="2961">
        <v>1</v>
      </c>
      <c r="D1036" s="2961">
        <v>2006</v>
      </c>
      <c r="E1036" s="2961" t="s">
        <v>4152</v>
      </c>
      <c r="F1036" s="2961">
        <v>44.22</v>
      </c>
    </row>
    <row r="1037" spans="1:6">
      <c r="A1037" s="2961">
        <v>1035</v>
      </c>
      <c r="B1037" s="2961" t="s">
        <v>4021</v>
      </c>
      <c r="C1037" s="2961">
        <v>1</v>
      </c>
      <c r="D1037" s="2961">
        <v>2007</v>
      </c>
      <c r="E1037" s="2961" t="s">
        <v>4153</v>
      </c>
      <c r="F1037" s="2961">
        <v>41.33</v>
      </c>
    </row>
    <row r="1038" spans="1:6">
      <c r="A1038" s="2961">
        <v>1036</v>
      </c>
      <c r="B1038" s="2961" t="s">
        <v>4021</v>
      </c>
      <c r="C1038" s="2961">
        <v>1</v>
      </c>
      <c r="D1038" s="2961">
        <v>2008</v>
      </c>
      <c r="E1038" s="2961" t="s">
        <v>4154</v>
      </c>
      <c r="F1038" s="2961">
        <v>41.33</v>
      </c>
    </row>
    <row r="1039" spans="1:6">
      <c r="A1039" s="2961">
        <v>1037</v>
      </c>
      <c r="B1039" s="2961" t="s">
        <v>4021</v>
      </c>
      <c r="C1039" s="2961">
        <v>1</v>
      </c>
      <c r="D1039" s="2961">
        <v>2009</v>
      </c>
      <c r="E1039" s="2961" t="s">
        <v>4155</v>
      </c>
      <c r="F1039" s="2961">
        <v>41.33</v>
      </c>
    </row>
    <row r="1040" spans="1:6">
      <c r="A1040" s="2961">
        <v>1038</v>
      </c>
      <c r="B1040" s="2961" t="s">
        <v>4021</v>
      </c>
      <c r="C1040" s="2961">
        <v>1</v>
      </c>
      <c r="D1040" s="2961">
        <v>2010</v>
      </c>
      <c r="E1040" s="2961" t="s">
        <v>4156</v>
      </c>
      <c r="F1040" s="2961">
        <v>41.33</v>
      </c>
    </row>
    <row r="1041" spans="1:6">
      <c r="A1041" s="2961">
        <v>1039</v>
      </c>
      <c r="B1041" s="2961" t="s">
        <v>4021</v>
      </c>
      <c r="C1041" s="2961">
        <v>2</v>
      </c>
      <c r="D1041" s="2961">
        <v>207</v>
      </c>
      <c r="E1041" s="2961" t="s">
        <v>4157</v>
      </c>
      <c r="F1041" s="2961">
        <v>26.28</v>
      </c>
    </row>
    <row r="1042" spans="1:6">
      <c r="A1042" s="2961">
        <v>1040</v>
      </c>
      <c r="B1042" s="2961" t="s">
        <v>4021</v>
      </c>
      <c r="C1042" s="2961">
        <v>2</v>
      </c>
      <c r="D1042" s="2961">
        <v>208</v>
      </c>
      <c r="E1042" s="2961" t="s">
        <v>4158</v>
      </c>
      <c r="F1042" s="2961">
        <v>41.33</v>
      </c>
    </row>
    <row r="1043" spans="1:6">
      <c r="A1043" s="2961">
        <v>1041</v>
      </c>
      <c r="B1043" s="2961" t="s">
        <v>4021</v>
      </c>
      <c r="C1043" s="2961">
        <v>2</v>
      </c>
      <c r="D1043" s="2961">
        <v>209</v>
      </c>
      <c r="E1043" s="2961" t="s">
        <v>4159</v>
      </c>
      <c r="F1043" s="2961">
        <v>41.33</v>
      </c>
    </row>
    <row r="1044" spans="1:6">
      <c r="A1044" s="2961">
        <v>1042</v>
      </c>
      <c r="B1044" s="2961" t="s">
        <v>4021</v>
      </c>
      <c r="C1044" s="2961">
        <v>2</v>
      </c>
      <c r="D1044" s="2961">
        <v>210</v>
      </c>
      <c r="E1044" s="2961" t="s">
        <v>4160</v>
      </c>
      <c r="F1044" s="2961">
        <v>41.33</v>
      </c>
    </row>
    <row r="1045" spans="1:6">
      <c r="A1045" s="2961">
        <v>1043</v>
      </c>
      <c r="B1045" s="2961" t="s">
        <v>4021</v>
      </c>
      <c r="C1045" s="2961">
        <v>2</v>
      </c>
      <c r="D1045" s="2961">
        <v>211</v>
      </c>
      <c r="E1045" s="2961" t="s">
        <v>4161</v>
      </c>
      <c r="F1045" s="2961">
        <v>26.28</v>
      </c>
    </row>
    <row r="1046" spans="1:6">
      <c r="A1046" s="2961">
        <v>1044</v>
      </c>
      <c r="B1046" s="2961" t="s">
        <v>4021</v>
      </c>
      <c r="C1046" s="2961">
        <v>2</v>
      </c>
      <c r="D1046" s="2961">
        <v>301</v>
      </c>
      <c r="E1046" s="2961" t="s">
        <v>4162</v>
      </c>
      <c r="F1046" s="2961">
        <v>53.08</v>
      </c>
    </row>
    <row r="1047" spans="1:6">
      <c r="A1047" s="2961">
        <v>1045</v>
      </c>
      <c r="B1047" s="2961" t="s">
        <v>4021</v>
      </c>
      <c r="C1047" s="2961">
        <v>2</v>
      </c>
      <c r="D1047" s="2961">
        <v>302</v>
      </c>
      <c r="E1047" s="2961" t="s">
        <v>4163</v>
      </c>
      <c r="F1047" s="2961">
        <v>54.32</v>
      </c>
    </row>
    <row r="1048" spans="1:6">
      <c r="A1048" s="2961">
        <v>1046</v>
      </c>
      <c r="B1048" s="2961" t="s">
        <v>4021</v>
      </c>
      <c r="C1048" s="2961">
        <v>2</v>
      </c>
      <c r="D1048" s="2961">
        <v>303</v>
      </c>
      <c r="E1048" s="2961" t="s">
        <v>4164</v>
      </c>
      <c r="F1048" s="2961">
        <v>54.32</v>
      </c>
    </row>
    <row r="1049" spans="1:6">
      <c r="A1049" s="2961">
        <v>1047</v>
      </c>
      <c r="B1049" s="2961" t="s">
        <v>4021</v>
      </c>
      <c r="C1049" s="2961">
        <v>2</v>
      </c>
      <c r="D1049" s="2961">
        <v>304</v>
      </c>
      <c r="E1049" s="2961" t="s">
        <v>4165</v>
      </c>
      <c r="F1049" s="2961">
        <v>54.32</v>
      </c>
    </row>
    <row r="1050" spans="1:6">
      <c r="A1050" s="2961">
        <v>1048</v>
      </c>
      <c r="B1050" s="2961" t="s">
        <v>4021</v>
      </c>
      <c r="C1050" s="2961">
        <v>2</v>
      </c>
      <c r="D1050" s="2961">
        <v>305</v>
      </c>
      <c r="E1050" s="2961" t="s">
        <v>4166</v>
      </c>
      <c r="F1050" s="2961">
        <v>54.32</v>
      </c>
    </row>
    <row r="1051" spans="1:6">
      <c r="A1051" s="2961">
        <v>1049</v>
      </c>
      <c r="B1051" s="2961" t="s">
        <v>4021</v>
      </c>
      <c r="C1051" s="2961">
        <v>2</v>
      </c>
      <c r="D1051" s="2961">
        <v>306</v>
      </c>
      <c r="E1051" s="2961" t="s">
        <v>4167</v>
      </c>
      <c r="F1051" s="2961">
        <v>44.22</v>
      </c>
    </row>
    <row r="1052" spans="1:6">
      <c r="A1052" s="2961">
        <v>1050</v>
      </c>
      <c r="B1052" s="2961" t="s">
        <v>4021</v>
      </c>
      <c r="C1052" s="2961">
        <v>2</v>
      </c>
      <c r="D1052" s="2961">
        <v>307</v>
      </c>
      <c r="E1052" s="2961" t="s">
        <v>4168</v>
      </c>
      <c r="F1052" s="2961">
        <v>41.33</v>
      </c>
    </row>
    <row r="1053" spans="1:6">
      <c r="A1053" s="2961">
        <v>1051</v>
      </c>
      <c r="B1053" s="2961" t="s">
        <v>4021</v>
      </c>
      <c r="C1053" s="2961">
        <v>2</v>
      </c>
      <c r="D1053" s="2961">
        <v>308</v>
      </c>
      <c r="E1053" s="2961" t="s">
        <v>4169</v>
      </c>
      <c r="F1053" s="2961">
        <v>41.33</v>
      </c>
    </row>
    <row r="1054" spans="1:6">
      <c r="A1054" s="2961">
        <v>1052</v>
      </c>
      <c r="B1054" s="2961" t="s">
        <v>4021</v>
      </c>
      <c r="C1054" s="2961">
        <v>2</v>
      </c>
      <c r="D1054" s="2961">
        <v>310</v>
      </c>
      <c r="E1054" s="2961" t="s">
        <v>4170</v>
      </c>
      <c r="F1054" s="2961">
        <v>41.33</v>
      </c>
    </row>
    <row r="1055" spans="1:6">
      <c r="A1055" s="2961">
        <v>1053</v>
      </c>
      <c r="B1055" s="2961" t="s">
        <v>4021</v>
      </c>
      <c r="C1055" s="2961">
        <v>2</v>
      </c>
      <c r="D1055" s="2961">
        <v>311</v>
      </c>
      <c r="E1055" s="2961" t="s">
        <v>4171</v>
      </c>
      <c r="F1055" s="2961">
        <v>41.33</v>
      </c>
    </row>
    <row r="1056" spans="1:6">
      <c r="A1056" s="2961">
        <v>1054</v>
      </c>
      <c r="B1056" s="2961" t="s">
        <v>4021</v>
      </c>
      <c r="C1056" s="2961">
        <v>2</v>
      </c>
      <c r="D1056" s="2961">
        <v>402</v>
      </c>
      <c r="E1056" s="2961" t="s">
        <v>4172</v>
      </c>
      <c r="F1056" s="2961">
        <v>54.32</v>
      </c>
    </row>
    <row r="1057" spans="1:6">
      <c r="A1057" s="2961">
        <v>1055</v>
      </c>
      <c r="B1057" s="2961" t="s">
        <v>4021</v>
      </c>
      <c r="C1057" s="2961">
        <v>2</v>
      </c>
      <c r="D1057" s="2961">
        <v>403</v>
      </c>
      <c r="E1057" s="2961" t="s">
        <v>4173</v>
      </c>
      <c r="F1057" s="2961">
        <v>54.32</v>
      </c>
    </row>
    <row r="1058" spans="1:6">
      <c r="A1058" s="2961">
        <v>1056</v>
      </c>
      <c r="B1058" s="2961" t="s">
        <v>4021</v>
      </c>
      <c r="C1058" s="2961">
        <v>2</v>
      </c>
      <c r="D1058" s="2961">
        <v>404</v>
      </c>
      <c r="E1058" s="2961" t="s">
        <v>4174</v>
      </c>
      <c r="F1058" s="2961">
        <v>54.32</v>
      </c>
    </row>
    <row r="1059" spans="1:6">
      <c r="A1059" s="2961">
        <v>1057</v>
      </c>
      <c r="B1059" s="2961" t="s">
        <v>4021</v>
      </c>
      <c r="C1059" s="2961">
        <v>2</v>
      </c>
      <c r="D1059" s="2961">
        <v>405</v>
      </c>
      <c r="E1059" s="2961" t="s">
        <v>4175</v>
      </c>
      <c r="F1059" s="2961">
        <v>54.32</v>
      </c>
    </row>
    <row r="1060" spans="1:6">
      <c r="A1060" s="2961">
        <v>1058</v>
      </c>
      <c r="B1060" s="2961" t="s">
        <v>4021</v>
      </c>
      <c r="C1060" s="2961">
        <v>2</v>
      </c>
      <c r="D1060" s="2961">
        <v>406</v>
      </c>
      <c r="E1060" s="2961" t="s">
        <v>4176</v>
      </c>
      <c r="F1060" s="2961">
        <v>44.22</v>
      </c>
    </row>
    <row r="1061" spans="1:6">
      <c r="A1061" s="2961">
        <v>1059</v>
      </c>
      <c r="B1061" s="2961" t="s">
        <v>4021</v>
      </c>
      <c r="C1061" s="2961">
        <v>2</v>
      </c>
      <c r="D1061" s="2961">
        <v>407</v>
      </c>
      <c r="E1061" s="2961" t="s">
        <v>4177</v>
      </c>
      <c r="F1061" s="2961">
        <v>41.33</v>
      </c>
    </row>
    <row r="1062" spans="1:6">
      <c r="A1062" s="2961">
        <v>1060</v>
      </c>
      <c r="B1062" s="2961" t="s">
        <v>4021</v>
      </c>
      <c r="C1062" s="2961">
        <v>2</v>
      </c>
      <c r="D1062" s="2961">
        <v>408</v>
      </c>
      <c r="E1062" s="2961" t="s">
        <v>4178</v>
      </c>
      <c r="F1062" s="2961">
        <v>41.33</v>
      </c>
    </row>
    <row r="1063" spans="1:6">
      <c r="A1063" s="2961">
        <v>1061</v>
      </c>
      <c r="B1063" s="2961" t="s">
        <v>4021</v>
      </c>
      <c r="C1063" s="2961">
        <v>2</v>
      </c>
      <c r="D1063" s="2961">
        <v>502</v>
      </c>
      <c r="E1063" s="2961" t="s">
        <v>4179</v>
      </c>
      <c r="F1063" s="2961">
        <v>54.32</v>
      </c>
    </row>
    <row r="1064" spans="1:6">
      <c r="A1064" s="2961">
        <v>1062</v>
      </c>
      <c r="B1064" s="2961" t="s">
        <v>4021</v>
      </c>
      <c r="C1064" s="2961">
        <v>2</v>
      </c>
      <c r="D1064" s="2961">
        <v>503</v>
      </c>
      <c r="E1064" s="2961" t="s">
        <v>4180</v>
      </c>
      <c r="F1064" s="2961">
        <v>54.32</v>
      </c>
    </row>
    <row r="1065" spans="1:6">
      <c r="A1065" s="2961">
        <v>1063</v>
      </c>
      <c r="B1065" s="2961" t="s">
        <v>4021</v>
      </c>
      <c r="C1065" s="2961">
        <v>2</v>
      </c>
      <c r="D1065" s="2961">
        <v>504</v>
      </c>
      <c r="E1065" s="2961" t="s">
        <v>4181</v>
      </c>
      <c r="F1065" s="2961">
        <v>54.32</v>
      </c>
    </row>
    <row r="1066" spans="1:6">
      <c r="A1066" s="2961">
        <v>1064</v>
      </c>
      <c r="B1066" s="2961" t="s">
        <v>4021</v>
      </c>
      <c r="C1066" s="2961">
        <v>2</v>
      </c>
      <c r="D1066" s="2961">
        <v>505</v>
      </c>
      <c r="E1066" s="2961" t="s">
        <v>4182</v>
      </c>
      <c r="F1066" s="2961">
        <v>54.32</v>
      </c>
    </row>
    <row r="1067" spans="1:6">
      <c r="A1067" s="2961">
        <v>1065</v>
      </c>
      <c r="B1067" s="2961" t="s">
        <v>4021</v>
      </c>
      <c r="C1067" s="2961">
        <v>2</v>
      </c>
      <c r="D1067" s="2961">
        <v>506</v>
      </c>
      <c r="E1067" s="2961" t="s">
        <v>4183</v>
      </c>
      <c r="F1067" s="2961">
        <v>44.22</v>
      </c>
    </row>
    <row r="1068" spans="1:6">
      <c r="A1068" s="2961">
        <v>1066</v>
      </c>
      <c r="B1068" s="2961" t="s">
        <v>4021</v>
      </c>
      <c r="C1068" s="2961">
        <v>2</v>
      </c>
      <c r="D1068" s="2961">
        <v>507</v>
      </c>
      <c r="E1068" s="2961" t="s">
        <v>4184</v>
      </c>
      <c r="F1068" s="2961">
        <v>41.33</v>
      </c>
    </row>
    <row r="1069" spans="1:6">
      <c r="A1069" s="2961">
        <v>1067</v>
      </c>
      <c r="B1069" s="2961" t="s">
        <v>4021</v>
      </c>
      <c r="C1069" s="2961">
        <v>2</v>
      </c>
      <c r="D1069" s="2961">
        <v>508</v>
      </c>
      <c r="E1069" s="2961" t="s">
        <v>4185</v>
      </c>
      <c r="F1069" s="2961">
        <v>41.33</v>
      </c>
    </row>
    <row r="1070" spans="1:6">
      <c r="A1070" s="2961">
        <v>1068</v>
      </c>
      <c r="B1070" s="2961" t="s">
        <v>4021</v>
      </c>
      <c r="C1070" s="2961">
        <v>2</v>
      </c>
      <c r="D1070" s="2961">
        <v>509</v>
      </c>
      <c r="E1070" s="2961" t="s">
        <v>4186</v>
      </c>
      <c r="F1070" s="2961">
        <v>41.33</v>
      </c>
    </row>
    <row r="1071" spans="1:6">
      <c r="A1071" s="2961">
        <v>1069</v>
      </c>
      <c r="B1071" s="2961" t="s">
        <v>4021</v>
      </c>
      <c r="C1071" s="2961">
        <v>2</v>
      </c>
      <c r="D1071" s="2961">
        <v>511</v>
      </c>
      <c r="E1071" s="2961" t="s">
        <v>4187</v>
      </c>
      <c r="F1071" s="2961">
        <v>41.33</v>
      </c>
    </row>
    <row r="1072" spans="1:6">
      <c r="A1072" s="2961">
        <v>1070</v>
      </c>
      <c r="B1072" s="2961" t="s">
        <v>4021</v>
      </c>
      <c r="C1072" s="2961">
        <v>2</v>
      </c>
      <c r="D1072" s="2961">
        <v>602</v>
      </c>
      <c r="E1072" s="2961" t="s">
        <v>4188</v>
      </c>
      <c r="F1072" s="2961">
        <v>54.32</v>
      </c>
    </row>
    <row r="1073" spans="1:6">
      <c r="A1073" s="2961">
        <v>1071</v>
      </c>
      <c r="B1073" s="2961" t="s">
        <v>4021</v>
      </c>
      <c r="C1073" s="2961">
        <v>2</v>
      </c>
      <c r="D1073" s="2961">
        <v>603</v>
      </c>
      <c r="E1073" s="2961" t="s">
        <v>4189</v>
      </c>
      <c r="F1073" s="2961">
        <v>54.32</v>
      </c>
    </row>
    <row r="1074" spans="1:6">
      <c r="A1074" s="2961">
        <v>1072</v>
      </c>
      <c r="B1074" s="2961" t="s">
        <v>4021</v>
      </c>
      <c r="C1074" s="2961">
        <v>2</v>
      </c>
      <c r="D1074" s="2961">
        <v>604</v>
      </c>
      <c r="E1074" s="2961" t="s">
        <v>4190</v>
      </c>
      <c r="F1074" s="2961">
        <v>54.32</v>
      </c>
    </row>
    <row r="1075" spans="1:6">
      <c r="A1075" s="2961">
        <v>1073</v>
      </c>
      <c r="B1075" s="2961" t="s">
        <v>4021</v>
      </c>
      <c r="C1075" s="2961">
        <v>2</v>
      </c>
      <c r="D1075" s="2961">
        <v>605</v>
      </c>
      <c r="E1075" s="2961" t="s">
        <v>4191</v>
      </c>
      <c r="F1075" s="2961">
        <v>54.32</v>
      </c>
    </row>
    <row r="1076" spans="1:6">
      <c r="A1076" s="2961">
        <v>1074</v>
      </c>
      <c r="B1076" s="2961" t="s">
        <v>4021</v>
      </c>
      <c r="C1076" s="2961">
        <v>2</v>
      </c>
      <c r="D1076" s="2961">
        <v>607</v>
      </c>
      <c r="E1076" s="2961" t="s">
        <v>4192</v>
      </c>
      <c r="F1076" s="2961">
        <v>41.33</v>
      </c>
    </row>
    <row r="1077" spans="1:6">
      <c r="A1077" s="2961">
        <v>1075</v>
      </c>
      <c r="B1077" s="2961" t="s">
        <v>4021</v>
      </c>
      <c r="C1077" s="2961">
        <v>2</v>
      </c>
      <c r="D1077" s="2961">
        <v>608</v>
      </c>
      <c r="E1077" s="2961" t="s">
        <v>4193</v>
      </c>
      <c r="F1077" s="2961">
        <v>41.33</v>
      </c>
    </row>
    <row r="1078" spans="1:6">
      <c r="A1078" s="2961">
        <v>1076</v>
      </c>
      <c r="B1078" s="2961" t="s">
        <v>4021</v>
      </c>
      <c r="C1078" s="2961">
        <v>2</v>
      </c>
      <c r="D1078" s="2961">
        <v>609</v>
      </c>
      <c r="E1078" s="2961" t="s">
        <v>4194</v>
      </c>
      <c r="F1078" s="2961">
        <v>41.33</v>
      </c>
    </row>
    <row r="1079" spans="1:6">
      <c r="A1079" s="2961">
        <v>1077</v>
      </c>
      <c r="B1079" s="2961" t="s">
        <v>4021</v>
      </c>
      <c r="C1079" s="2961">
        <v>2</v>
      </c>
      <c r="D1079" s="2961">
        <v>610</v>
      </c>
      <c r="E1079" s="2961" t="s">
        <v>4195</v>
      </c>
      <c r="F1079" s="2961">
        <v>41.33</v>
      </c>
    </row>
    <row r="1080" spans="1:6">
      <c r="A1080" s="2961">
        <v>1078</v>
      </c>
      <c r="B1080" s="2961" t="s">
        <v>4021</v>
      </c>
      <c r="C1080" s="2961">
        <v>2</v>
      </c>
      <c r="D1080" s="2961">
        <v>611</v>
      </c>
      <c r="E1080" s="2961" t="s">
        <v>4196</v>
      </c>
      <c r="F1080" s="2961">
        <v>41.33</v>
      </c>
    </row>
    <row r="1081" spans="1:6">
      <c r="A1081" s="2961">
        <v>1079</v>
      </c>
      <c r="B1081" s="2961" t="s">
        <v>4021</v>
      </c>
      <c r="C1081" s="2961">
        <v>2</v>
      </c>
      <c r="D1081" s="2961">
        <v>702</v>
      </c>
      <c r="E1081" s="2961" t="s">
        <v>4197</v>
      </c>
      <c r="F1081" s="2961">
        <v>54.32</v>
      </c>
    </row>
    <row r="1082" spans="1:6">
      <c r="A1082" s="2961">
        <v>1080</v>
      </c>
      <c r="B1082" s="2961" t="s">
        <v>4021</v>
      </c>
      <c r="C1082" s="2961">
        <v>2</v>
      </c>
      <c r="D1082" s="2961">
        <v>703</v>
      </c>
      <c r="E1082" s="2961" t="s">
        <v>4198</v>
      </c>
      <c r="F1082" s="2961">
        <v>54.32</v>
      </c>
    </row>
    <row r="1083" spans="1:6">
      <c r="A1083" s="2961">
        <v>1081</v>
      </c>
      <c r="B1083" s="2961" t="s">
        <v>4021</v>
      </c>
      <c r="C1083" s="2961">
        <v>2</v>
      </c>
      <c r="D1083" s="2961">
        <v>704</v>
      </c>
      <c r="E1083" s="2961" t="s">
        <v>4199</v>
      </c>
      <c r="F1083" s="2961">
        <v>54.32</v>
      </c>
    </row>
    <row r="1084" spans="1:6">
      <c r="A1084" s="2961">
        <v>1082</v>
      </c>
      <c r="B1084" s="2961" t="s">
        <v>4021</v>
      </c>
      <c r="C1084" s="2961">
        <v>2</v>
      </c>
      <c r="D1084" s="2961">
        <v>705</v>
      </c>
      <c r="E1084" s="2961" t="s">
        <v>4200</v>
      </c>
      <c r="F1084" s="2961">
        <v>54.32</v>
      </c>
    </row>
    <row r="1085" spans="1:6">
      <c r="A1085" s="2961">
        <v>1083</v>
      </c>
      <c r="B1085" s="2961" t="s">
        <v>4021</v>
      </c>
      <c r="C1085" s="2961">
        <v>2</v>
      </c>
      <c r="D1085" s="2961">
        <v>706</v>
      </c>
      <c r="E1085" s="2961" t="s">
        <v>4201</v>
      </c>
      <c r="F1085" s="2961">
        <v>44.22</v>
      </c>
    </row>
    <row r="1086" spans="1:6">
      <c r="A1086" s="2961">
        <v>1084</v>
      </c>
      <c r="B1086" s="2961" t="s">
        <v>4021</v>
      </c>
      <c r="C1086" s="2961">
        <v>2</v>
      </c>
      <c r="D1086" s="2961">
        <v>707</v>
      </c>
      <c r="E1086" s="2961" t="s">
        <v>4202</v>
      </c>
      <c r="F1086" s="2961">
        <v>41.33</v>
      </c>
    </row>
    <row r="1087" spans="1:6">
      <c r="A1087" s="2961">
        <v>1085</v>
      </c>
      <c r="B1087" s="2961" t="s">
        <v>4021</v>
      </c>
      <c r="C1087" s="2961">
        <v>2</v>
      </c>
      <c r="D1087" s="2961">
        <v>708</v>
      </c>
      <c r="E1087" s="2961" t="s">
        <v>4203</v>
      </c>
      <c r="F1087" s="2961">
        <v>41.33</v>
      </c>
    </row>
    <row r="1088" spans="1:6">
      <c r="A1088" s="2961">
        <v>1086</v>
      </c>
      <c r="B1088" s="2961" t="s">
        <v>4021</v>
      </c>
      <c r="C1088" s="2961">
        <v>2</v>
      </c>
      <c r="D1088" s="2961">
        <v>709</v>
      </c>
      <c r="E1088" s="2961" t="s">
        <v>4204</v>
      </c>
      <c r="F1088" s="2961">
        <v>41.33</v>
      </c>
    </row>
    <row r="1089" spans="1:6">
      <c r="A1089" s="2961">
        <v>1087</v>
      </c>
      <c r="B1089" s="2961" t="s">
        <v>4021</v>
      </c>
      <c r="C1089" s="2961">
        <v>2</v>
      </c>
      <c r="D1089" s="2961">
        <v>710</v>
      </c>
      <c r="E1089" s="2961" t="s">
        <v>4205</v>
      </c>
      <c r="F1089" s="2961">
        <v>41.33</v>
      </c>
    </row>
    <row r="1090" spans="1:6">
      <c r="A1090" s="2961">
        <v>1088</v>
      </c>
      <c r="B1090" s="2961" t="s">
        <v>4021</v>
      </c>
      <c r="C1090" s="2961">
        <v>2</v>
      </c>
      <c r="D1090" s="2961">
        <v>801</v>
      </c>
      <c r="E1090" s="2961" t="s">
        <v>4206</v>
      </c>
      <c r="F1090" s="2961">
        <v>53.08</v>
      </c>
    </row>
    <row r="1091" spans="1:6">
      <c r="A1091" s="2961">
        <v>1089</v>
      </c>
      <c r="B1091" s="2961" t="s">
        <v>4021</v>
      </c>
      <c r="C1091" s="2961">
        <v>2</v>
      </c>
      <c r="D1091" s="2961">
        <v>802</v>
      </c>
      <c r="E1091" s="2961" t="s">
        <v>4207</v>
      </c>
      <c r="F1091" s="2961">
        <v>54.32</v>
      </c>
    </row>
    <row r="1092" spans="1:6">
      <c r="A1092" s="2961">
        <v>1090</v>
      </c>
      <c r="B1092" s="2961" t="s">
        <v>4021</v>
      </c>
      <c r="C1092" s="2961">
        <v>2</v>
      </c>
      <c r="D1092" s="2961">
        <v>803</v>
      </c>
      <c r="E1092" s="2961" t="s">
        <v>4208</v>
      </c>
      <c r="F1092" s="2961">
        <v>54.32</v>
      </c>
    </row>
    <row r="1093" spans="1:6">
      <c r="A1093" s="2961">
        <v>1091</v>
      </c>
      <c r="B1093" s="2961" t="s">
        <v>4021</v>
      </c>
      <c r="C1093" s="2961">
        <v>2</v>
      </c>
      <c r="D1093" s="2961">
        <v>804</v>
      </c>
      <c r="E1093" s="2961" t="s">
        <v>4209</v>
      </c>
      <c r="F1093" s="2961">
        <v>54.32</v>
      </c>
    </row>
    <row r="1094" spans="1:6">
      <c r="A1094" s="2961">
        <v>1092</v>
      </c>
      <c r="B1094" s="2961" t="s">
        <v>4021</v>
      </c>
      <c r="C1094" s="2961">
        <v>2</v>
      </c>
      <c r="D1094" s="2961">
        <v>805</v>
      </c>
      <c r="E1094" s="2961" t="s">
        <v>4210</v>
      </c>
      <c r="F1094" s="2961">
        <v>54.32</v>
      </c>
    </row>
    <row r="1095" spans="1:6">
      <c r="A1095" s="2961">
        <v>1093</v>
      </c>
      <c r="B1095" s="2961" t="s">
        <v>4021</v>
      </c>
      <c r="C1095" s="2961">
        <v>2</v>
      </c>
      <c r="D1095" s="2961">
        <v>807</v>
      </c>
      <c r="E1095" s="2961" t="s">
        <v>4211</v>
      </c>
      <c r="F1095" s="2961">
        <v>41.33</v>
      </c>
    </row>
    <row r="1096" spans="1:6">
      <c r="A1096" s="2961">
        <v>1094</v>
      </c>
      <c r="B1096" s="2961" t="s">
        <v>4021</v>
      </c>
      <c r="C1096" s="2961">
        <v>2</v>
      </c>
      <c r="D1096" s="2961">
        <v>809</v>
      </c>
      <c r="E1096" s="2961" t="s">
        <v>4212</v>
      </c>
      <c r="F1096" s="2961">
        <v>41.33</v>
      </c>
    </row>
    <row r="1097" spans="1:6">
      <c r="A1097" s="2961">
        <v>1095</v>
      </c>
      <c r="B1097" s="2961" t="s">
        <v>4021</v>
      </c>
      <c r="C1097" s="2961">
        <v>2</v>
      </c>
      <c r="D1097" s="2961">
        <v>810</v>
      </c>
      <c r="E1097" s="2961" t="s">
        <v>4213</v>
      </c>
      <c r="F1097" s="2961">
        <v>41.33</v>
      </c>
    </row>
    <row r="1098" spans="1:6">
      <c r="A1098" s="2961">
        <v>1096</v>
      </c>
      <c r="B1098" s="2961" t="s">
        <v>4021</v>
      </c>
      <c r="C1098" s="2961">
        <v>2</v>
      </c>
      <c r="D1098" s="2961">
        <v>902</v>
      </c>
      <c r="E1098" s="2961" t="s">
        <v>4214</v>
      </c>
      <c r="F1098" s="2961">
        <v>54.32</v>
      </c>
    </row>
    <row r="1099" spans="1:6">
      <c r="A1099" s="2961">
        <v>1097</v>
      </c>
      <c r="B1099" s="2961" t="s">
        <v>4021</v>
      </c>
      <c r="C1099" s="2961">
        <v>2</v>
      </c>
      <c r="D1099" s="2961">
        <v>903</v>
      </c>
      <c r="E1099" s="2961" t="s">
        <v>4215</v>
      </c>
      <c r="F1099" s="2961">
        <v>54.32</v>
      </c>
    </row>
    <row r="1100" spans="1:6">
      <c r="A1100" s="2961">
        <v>1098</v>
      </c>
      <c r="B1100" s="2961" t="s">
        <v>4021</v>
      </c>
      <c r="C1100" s="2961">
        <v>2</v>
      </c>
      <c r="D1100" s="2961">
        <v>904</v>
      </c>
      <c r="E1100" s="2961" t="s">
        <v>4216</v>
      </c>
      <c r="F1100" s="2961">
        <v>54.32</v>
      </c>
    </row>
    <row r="1101" spans="1:6">
      <c r="A1101" s="2961">
        <v>1099</v>
      </c>
      <c r="B1101" s="2961" t="s">
        <v>4021</v>
      </c>
      <c r="C1101" s="2961">
        <v>2</v>
      </c>
      <c r="D1101" s="2961">
        <v>905</v>
      </c>
      <c r="E1101" s="2961" t="s">
        <v>4217</v>
      </c>
      <c r="F1101" s="2961">
        <v>54.32</v>
      </c>
    </row>
    <row r="1102" spans="1:6">
      <c r="A1102" s="2961">
        <v>1100</v>
      </c>
      <c r="B1102" s="2961" t="s">
        <v>4021</v>
      </c>
      <c r="C1102" s="2961">
        <v>2</v>
      </c>
      <c r="D1102" s="2961">
        <v>906</v>
      </c>
      <c r="E1102" s="2961" t="s">
        <v>4218</v>
      </c>
      <c r="F1102" s="2961">
        <v>44.22</v>
      </c>
    </row>
    <row r="1103" spans="1:6">
      <c r="A1103" s="2961">
        <v>1101</v>
      </c>
      <c r="B1103" s="2961" t="s">
        <v>4021</v>
      </c>
      <c r="C1103" s="2961">
        <v>2</v>
      </c>
      <c r="D1103" s="2961">
        <v>907</v>
      </c>
      <c r="E1103" s="2961" t="s">
        <v>4219</v>
      </c>
      <c r="F1103" s="2961">
        <v>41.33</v>
      </c>
    </row>
    <row r="1104" spans="1:6">
      <c r="A1104" s="2961">
        <v>1102</v>
      </c>
      <c r="B1104" s="2961" t="s">
        <v>4021</v>
      </c>
      <c r="C1104" s="2961">
        <v>2</v>
      </c>
      <c r="D1104" s="2961">
        <v>908</v>
      </c>
      <c r="E1104" s="2961" t="s">
        <v>4220</v>
      </c>
      <c r="F1104" s="2961">
        <v>41.33</v>
      </c>
    </row>
    <row r="1105" spans="1:6">
      <c r="A1105" s="2961">
        <v>1103</v>
      </c>
      <c r="B1105" s="2961" t="s">
        <v>4021</v>
      </c>
      <c r="C1105" s="2961">
        <v>2</v>
      </c>
      <c r="D1105" s="2961">
        <v>1002</v>
      </c>
      <c r="E1105" s="2961" t="s">
        <v>4221</v>
      </c>
      <c r="F1105" s="2961">
        <v>54.32</v>
      </c>
    </row>
    <row r="1106" spans="1:6">
      <c r="A1106" s="2961">
        <v>1104</v>
      </c>
      <c r="B1106" s="2961" t="s">
        <v>4021</v>
      </c>
      <c r="C1106" s="2961">
        <v>2</v>
      </c>
      <c r="D1106" s="2961">
        <v>1003</v>
      </c>
      <c r="E1106" s="2961" t="s">
        <v>4222</v>
      </c>
      <c r="F1106" s="2961">
        <v>54.32</v>
      </c>
    </row>
    <row r="1107" spans="1:6">
      <c r="A1107" s="2961">
        <v>1105</v>
      </c>
      <c r="B1107" s="2961" t="s">
        <v>4021</v>
      </c>
      <c r="C1107" s="2961">
        <v>2</v>
      </c>
      <c r="D1107" s="2961">
        <v>1004</v>
      </c>
      <c r="E1107" s="2961" t="s">
        <v>4223</v>
      </c>
      <c r="F1107" s="2961">
        <v>54.32</v>
      </c>
    </row>
    <row r="1108" spans="1:6">
      <c r="A1108" s="2961">
        <v>1106</v>
      </c>
      <c r="B1108" s="2961" t="s">
        <v>4021</v>
      </c>
      <c r="C1108" s="2961">
        <v>2</v>
      </c>
      <c r="D1108" s="2961">
        <v>1005</v>
      </c>
      <c r="E1108" s="2961" t="s">
        <v>4224</v>
      </c>
      <c r="F1108" s="2961">
        <v>54.32</v>
      </c>
    </row>
    <row r="1109" spans="1:6">
      <c r="A1109" s="2961">
        <v>1107</v>
      </c>
      <c r="B1109" s="2961" t="s">
        <v>4021</v>
      </c>
      <c r="C1109" s="2961">
        <v>2</v>
      </c>
      <c r="D1109" s="2961">
        <v>1007</v>
      </c>
      <c r="E1109" s="2961" t="s">
        <v>4225</v>
      </c>
      <c r="F1109" s="2961">
        <v>41.33</v>
      </c>
    </row>
    <row r="1110" spans="1:6">
      <c r="A1110" s="2961">
        <v>1108</v>
      </c>
      <c r="B1110" s="2961" t="s">
        <v>4021</v>
      </c>
      <c r="C1110" s="2961">
        <v>2</v>
      </c>
      <c r="D1110" s="2961">
        <v>1008</v>
      </c>
      <c r="E1110" s="2961" t="s">
        <v>4226</v>
      </c>
      <c r="F1110" s="2961">
        <v>41.33</v>
      </c>
    </row>
    <row r="1111" spans="1:6">
      <c r="A1111" s="2961">
        <v>1109</v>
      </c>
      <c r="B1111" s="2961" t="s">
        <v>4021</v>
      </c>
      <c r="C1111" s="2961">
        <v>2</v>
      </c>
      <c r="D1111" s="2961">
        <v>1009</v>
      </c>
      <c r="E1111" s="2961" t="s">
        <v>4227</v>
      </c>
      <c r="F1111" s="2961">
        <v>41.33</v>
      </c>
    </row>
    <row r="1112" spans="1:6">
      <c r="A1112" s="2961">
        <v>1110</v>
      </c>
      <c r="B1112" s="2961" t="s">
        <v>4021</v>
      </c>
      <c r="C1112" s="2961">
        <v>2</v>
      </c>
      <c r="D1112" s="2961">
        <v>1010</v>
      </c>
      <c r="E1112" s="2961" t="s">
        <v>4228</v>
      </c>
      <c r="F1112" s="2961">
        <v>41.33</v>
      </c>
    </row>
    <row r="1113" spans="1:6">
      <c r="A1113" s="2961">
        <v>1111</v>
      </c>
      <c r="B1113" s="2961" t="s">
        <v>4021</v>
      </c>
      <c r="C1113" s="2961">
        <v>2</v>
      </c>
      <c r="D1113" s="2961">
        <v>1102</v>
      </c>
      <c r="E1113" s="2961" t="s">
        <v>4229</v>
      </c>
      <c r="F1113" s="2961">
        <v>54.32</v>
      </c>
    </row>
    <row r="1114" spans="1:6">
      <c r="A1114" s="2961">
        <v>1112</v>
      </c>
      <c r="B1114" s="2961" t="s">
        <v>4021</v>
      </c>
      <c r="C1114" s="2961">
        <v>2</v>
      </c>
      <c r="D1114" s="2961">
        <v>1103</v>
      </c>
      <c r="E1114" s="2961" t="s">
        <v>4230</v>
      </c>
      <c r="F1114" s="2961">
        <v>54.32</v>
      </c>
    </row>
    <row r="1115" spans="1:6">
      <c r="A1115" s="2961">
        <v>1113</v>
      </c>
      <c r="B1115" s="2961" t="s">
        <v>4021</v>
      </c>
      <c r="C1115" s="2961">
        <v>2</v>
      </c>
      <c r="D1115" s="2961">
        <v>1104</v>
      </c>
      <c r="E1115" s="2961" t="s">
        <v>4231</v>
      </c>
      <c r="F1115" s="2961">
        <v>54.32</v>
      </c>
    </row>
    <row r="1116" spans="1:6">
      <c r="A1116" s="2961">
        <v>1114</v>
      </c>
      <c r="B1116" s="2961" t="s">
        <v>4021</v>
      </c>
      <c r="C1116" s="2961">
        <v>2</v>
      </c>
      <c r="D1116" s="2961">
        <v>1105</v>
      </c>
      <c r="E1116" s="2961" t="s">
        <v>4232</v>
      </c>
      <c r="F1116" s="2961">
        <v>54.32</v>
      </c>
    </row>
    <row r="1117" spans="1:6">
      <c r="A1117" s="2961">
        <v>1115</v>
      </c>
      <c r="B1117" s="2961" t="s">
        <v>4021</v>
      </c>
      <c r="C1117" s="2961">
        <v>2</v>
      </c>
      <c r="D1117" s="2961">
        <v>1107</v>
      </c>
      <c r="E1117" s="2961" t="s">
        <v>4233</v>
      </c>
      <c r="F1117" s="2961">
        <v>41.33</v>
      </c>
    </row>
    <row r="1118" spans="1:6">
      <c r="A1118" s="2961">
        <v>1116</v>
      </c>
      <c r="B1118" s="2961" t="s">
        <v>4021</v>
      </c>
      <c r="C1118" s="2961">
        <v>2</v>
      </c>
      <c r="D1118" s="2961">
        <v>1109</v>
      </c>
      <c r="E1118" s="2961" t="s">
        <v>4234</v>
      </c>
      <c r="F1118" s="2961">
        <v>41.33</v>
      </c>
    </row>
    <row r="1119" spans="1:6">
      <c r="A1119" s="2961">
        <v>1117</v>
      </c>
      <c r="B1119" s="2961" t="s">
        <v>4021</v>
      </c>
      <c r="C1119" s="2961">
        <v>2</v>
      </c>
      <c r="D1119" s="2961">
        <v>1110</v>
      </c>
      <c r="E1119" s="2961" t="s">
        <v>4235</v>
      </c>
      <c r="F1119" s="2961">
        <v>41.33</v>
      </c>
    </row>
    <row r="1120" spans="1:6">
      <c r="A1120" s="2961">
        <v>1118</v>
      </c>
      <c r="B1120" s="2961" t="s">
        <v>4021</v>
      </c>
      <c r="C1120" s="2961">
        <v>2</v>
      </c>
      <c r="D1120" s="2961">
        <v>1201</v>
      </c>
      <c r="E1120" s="2961" t="s">
        <v>4236</v>
      </c>
      <c r="F1120" s="2961">
        <v>53.08</v>
      </c>
    </row>
    <row r="1121" spans="1:6">
      <c r="A1121" s="2961">
        <v>1119</v>
      </c>
      <c r="B1121" s="2961" t="s">
        <v>4021</v>
      </c>
      <c r="C1121" s="2961">
        <v>2</v>
      </c>
      <c r="D1121" s="2961">
        <v>1202</v>
      </c>
      <c r="E1121" s="2961" t="s">
        <v>4237</v>
      </c>
      <c r="F1121" s="2961">
        <v>54.32</v>
      </c>
    </row>
    <row r="1122" spans="1:6">
      <c r="A1122" s="2961">
        <v>1120</v>
      </c>
      <c r="B1122" s="2961" t="s">
        <v>4021</v>
      </c>
      <c r="C1122" s="2961">
        <v>2</v>
      </c>
      <c r="D1122" s="2961">
        <v>1203</v>
      </c>
      <c r="E1122" s="2961" t="s">
        <v>4238</v>
      </c>
      <c r="F1122" s="2961">
        <v>54.32</v>
      </c>
    </row>
    <row r="1123" spans="1:6">
      <c r="A1123" s="2961">
        <v>1121</v>
      </c>
      <c r="B1123" s="2961" t="s">
        <v>4021</v>
      </c>
      <c r="C1123" s="2961">
        <v>2</v>
      </c>
      <c r="D1123" s="2961">
        <v>1204</v>
      </c>
      <c r="E1123" s="2961" t="s">
        <v>4239</v>
      </c>
      <c r="F1123" s="2961">
        <v>54.32</v>
      </c>
    </row>
    <row r="1124" spans="1:6">
      <c r="A1124" s="2961">
        <v>1122</v>
      </c>
      <c r="B1124" s="2961" t="s">
        <v>4021</v>
      </c>
      <c r="C1124" s="2961">
        <v>2</v>
      </c>
      <c r="D1124" s="2961">
        <v>1205</v>
      </c>
      <c r="E1124" s="2961" t="s">
        <v>4240</v>
      </c>
      <c r="F1124" s="2961">
        <v>54.32</v>
      </c>
    </row>
    <row r="1125" spans="1:6">
      <c r="A1125" s="2961">
        <v>1123</v>
      </c>
      <c r="B1125" s="2961" t="s">
        <v>4021</v>
      </c>
      <c r="C1125" s="2961">
        <v>2</v>
      </c>
      <c r="D1125" s="2961">
        <v>1206</v>
      </c>
      <c r="E1125" s="2961" t="s">
        <v>4241</v>
      </c>
      <c r="F1125" s="2961">
        <v>44.22</v>
      </c>
    </row>
    <row r="1126" spans="1:6">
      <c r="A1126" s="2961">
        <v>1124</v>
      </c>
      <c r="B1126" s="2961" t="s">
        <v>4021</v>
      </c>
      <c r="C1126" s="2961">
        <v>2</v>
      </c>
      <c r="D1126" s="2961">
        <v>1207</v>
      </c>
      <c r="E1126" s="2961" t="s">
        <v>4242</v>
      </c>
      <c r="F1126" s="2961">
        <v>41.33</v>
      </c>
    </row>
    <row r="1127" spans="1:6">
      <c r="A1127" s="2961">
        <v>1125</v>
      </c>
      <c r="B1127" s="2961" t="s">
        <v>4021</v>
      </c>
      <c r="C1127" s="2961">
        <v>2</v>
      </c>
      <c r="D1127" s="2961">
        <v>1208</v>
      </c>
      <c r="E1127" s="2961" t="s">
        <v>4243</v>
      </c>
      <c r="F1127" s="2961">
        <v>41.33</v>
      </c>
    </row>
    <row r="1128" spans="1:6">
      <c r="A1128" s="2961">
        <v>1126</v>
      </c>
      <c r="B1128" s="2961" t="s">
        <v>4021</v>
      </c>
      <c r="C1128" s="2961">
        <v>2</v>
      </c>
      <c r="D1128" s="2961">
        <v>1209</v>
      </c>
      <c r="E1128" s="2961" t="s">
        <v>4244</v>
      </c>
      <c r="F1128" s="2961">
        <v>41.33</v>
      </c>
    </row>
    <row r="1129" spans="1:6">
      <c r="A1129" s="2961">
        <v>1127</v>
      </c>
      <c r="B1129" s="2961" t="s">
        <v>4021</v>
      </c>
      <c r="C1129" s="2961">
        <v>2</v>
      </c>
      <c r="D1129" s="2961">
        <v>1210</v>
      </c>
      <c r="E1129" s="2961" t="s">
        <v>4245</v>
      </c>
      <c r="F1129" s="2961">
        <v>41.33</v>
      </c>
    </row>
    <row r="1130" spans="1:6">
      <c r="A1130" s="2961">
        <v>1128</v>
      </c>
      <c r="B1130" s="2961" t="s">
        <v>4021</v>
      </c>
      <c r="C1130" s="2961">
        <v>2</v>
      </c>
      <c r="D1130" s="2961">
        <v>1302</v>
      </c>
      <c r="E1130" s="2961" t="s">
        <v>4246</v>
      </c>
      <c r="F1130" s="2961">
        <v>54.32</v>
      </c>
    </row>
    <row r="1131" spans="1:6">
      <c r="A1131" s="2961">
        <v>1129</v>
      </c>
      <c r="B1131" s="2961" t="s">
        <v>4021</v>
      </c>
      <c r="C1131" s="2961">
        <v>2</v>
      </c>
      <c r="D1131" s="2961">
        <v>1303</v>
      </c>
      <c r="E1131" s="2961" t="s">
        <v>4247</v>
      </c>
      <c r="F1131" s="2961">
        <v>54.32</v>
      </c>
    </row>
    <row r="1132" spans="1:6">
      <c r="A1132" s="2961">
        <v>1130</v>
      </c>
      <c r="B1132" s="2961" t="s">
        <v>4021</v>
      </c>
      <c r="C1132" s="2961">
        <v>2</v>
      </c>
      <c r="D1132" s="2961">
        <v>1304</v>
      </c>
      <c r="E1132" s="2961" t="s">
        <v>4248</v>
      </c>
      <c r="F1132" s="2961">
        <v>54.32</v>
      </c>
    </row>
    <row r="1133" spans="1:6">
      <c r="A1133" s="2961">
        <v>1131</v>
      </c>
      <c r="B1133" s="2961" t="s">
        <v>4021</v>
      </c>
      <c r="C1133" s="2961">
        <v>2</v>
      </c>
      <c r="D1133" s="2961">
        <v>1305</v>
      </c>
      <c r="E1133" s="2961" t="s">
        <v>4249</v>
      </c>
      <c r="F1133" s="2961">
        <v>54.32</v>
      </c>
    </row>
    <row r="1134" spans="1:6">
      <c r="A1134" s="2961">
        <v>1132</v>
      </c>
      <c r="B1134" s="2961" t="s">
        <v>4021</v>
      </c>
      <c r="C1134" s="2961">
        <v>2</v>
      </c>
      <c r="D1134" s="2961">
        <v>1306</v>
      </c>
      <c r="E1134" s="2961" t="s">
        <v>4250</v>
      </c>
      <c r="F1134" s="2961">
        <v>44.22</v>
      </c>
    </row>
    <row r="1135" spans="1:6">
      <c r="A1135" s="2961">
        <v>1133</v>
      </c>
      <c r="B1135" s="2961" t="s">
        <v>4021</v>
      </c>
      <c r="C1135" s="2961">
        <v>2</v>
      </c>
      <c r="D1135" s="2961">
        <v>1307</v>
      </c>
      <c r="E1135" s="2961" t="s">
        <v>4251</v>
      </c>
      <c r="F1135" s="2961">
        <v>41.33</v>
      </c>
    </row>
    <row r="1136" spans="1:6">
      <c r="A1136" s="2961">
        <v>1134</v>
      </c>
      <c r="B1136" s="2961" t="s">
        <v>4021</v>
      </c>
      <c r="C1136" s="2961">
        <v>2</v>
      </c>
      <c r="D1136" s="2961">
        <v>1309</v>
      </c>
      <c r="E1136" s="2961" t="s">
        <v>4252</v>
      </c>
      <c r="F1136" s="2961">
        <v>41.33</v>
      </c>
    </row>
    <row r="1137" spans="1:6">
      <c r="A1137" s="2961">
        <v>1135</v>
      </c>
      <c r="B1137" s="2961" t="s">
        <v>4021</v>
      </c>
      <c r="C1137" s="2961">
        <v>2</v>
      </c>
      <c r="D1137" s="2961">
        <v>1310</v>
      </c>
      <c r="E1137" s="2961" t="s">
        <v>4253</v>
      </c>
      <c r="F1137" s="2961">
        <v>41.33</v>
      </c>
    </row>
    <row r="1138" spans="1:6">
      <c r="A1138" s="2961">
        <v>1136</v>
      </c>
      <c r="B1138" s="2961" t="s">
        <v>4021</v>
      </c>
      <c r="C1138" s="2961">
        <v>2</v>
      </c>
      <c r="D1138" s="2961">
        <v>1401</v>
      </c>
      <c r="E1138" s="2961" t="s">
        <v>4254</v>
      </c>
      <c r="F1138" s="2961">
        <v>53.08</v>
      </c>
    </row>
    <row r="1139" spans="1:6">
      <c r="A1139" s="2961">
        <v>1137</v>
      </c>
      <c r="B1139" s="2961" t="s">
        <v>4021</v>
      </c>
      <c r="C1139" s="2961">
        <v>2</v>
      </c>
      <c r="D1139" s="2961">
        <v>1402</v>
      </c>
      <c r="E1139" s="2961" t="s">
        <v>4255</v>
      </c>
      <c r="F1139" s="2961">
        <v>54.32</v>
      </c>
    </row>
    <row r="1140" spans="1:6">
      <c r="A1140" s="2961">
        <v>1138</v>
      </c>
      <c r="B1140" s="2961" t="s">
        <v>4021</v>
      </c>
      <c r="C1140" s="2961">
        <v>2</v>
      </c>
      <c r="D1140" s="2961">
        <v>1403</v>
      </c>
      <c r="E1140" s="2961" t="s">
        <v>4256</v>
      </c>
      <c r="F1140" s="2961">
        <v>54.32</v>
      </c>
    </row>
    <row r="1141" spans="1:6">
      <c r="A1141" s="2961">
        <v>1139</v>
      </c>
      <c r="B1141" s="2961" t="s">
        <v>4021</v>
      </c>
      <c r="C1141" s="2961">
        <v>2</v>
      </c>
      <c r="D1141" s="2961">
        <v>1404</v>
      </c>
      <c r="E1141" s="2961" t="s">
        <v>4257</v>
      </c>
      <c r="F1141" s="2961">
        <v>54.32</v>
      </c>
    </row>
    <row r="1142" spans="1:6">
      <c r="A1142" s="2961">
        <v>1140</v>
      </c>
      <c r="B1142" s="2961" t="s">
        <v>4021</v>
      </c>
      <c r="C1142" s="2961">
        <v>2</v>
      </c>
      <c r="D1142" s="2961">
        <v>1405</v>
      </c>
      <c r="E1142" s="2961" t="s">
        <v>4258</v>
      </c>
      <c r="F1142" s="2961">
        <v>54.32</v>
      </c>
    </row>
    <row r="1143" spans="1:6">
      <c r="A1143" s="2961">
        <v>1141</v>
      </c>
      <c r="B1143" s="2961" t="s">
        <v>4021</v>
      </c>
      <c r="C1143" s="2961">
        <v>2</v>
      </c>
      <c r="D1143" s="2961">
        <v>1407</v>
      </c>
      <c r="E1143" s="2961" t="s">
        <v>4259</v>
      </c>
      <c r="F1143" s="2961">
        <v>41.33</v>
      </c>
    </row>
    <row r="1144" spans="1:6">
      <c r="A1144" s="2961">
        <v>1142</v>
      </c>
      <c r="B1144" s="2961" t="s">
        <v>4021</v>
      </c>
      <c r="C1144" s="2961">
        <v>2</v>
      </c>
      <c r="D1144" s="2961">
        <v>1408</v>
      </c>
      <c r="E1144" s="2961" t="s">
        <v>4260</v>
      </c>
      <c r="F1144" s="2961">
        <v>41.33</v>
      </c>
    </row>
    <row r="1145" spans="1:6">
      <c r="A1145" s="2961">
        <v>1143</v>
      </c>
      <c r="B1145" s="2961" t="s">
        <v>4021</v>
      </c>
      <c r="C1145" s="2961">
        <v>2</v>
      </c>
      <c r="D1145" s="2961">
        <v>1410</v>
      </c>
      <c r="E1145" s="2961" t="s">
        <v>4261</v>
      </c>
      <c r="F1145" s="2961">
        <v>41.33</v>
      </c>
    </row>
    <row r="1146" spans="1:6">
      <c r="A1146" s="2961">
        <v>1144</v>
      </c>
      <c r="B1146" s="2961" t="s">
        <v>4021</v>
      </c>
      <c r="C1146" s="2961">
        <v>2</v>
      </c>
      <c r="D1146" s="2961">
        <v>1411</v>
      </c>
      <c r="E1146" s="2961" t="s">
        <v>4262</v>
      </c>
      <c r="F1146" s="2961">
        <v>41.33</v>
      </c>
    </row>
    <row r="1147" spans="1:6">
      <c r="A1147" s="2961">
        <v>1145</v>
      </c>
      <c r="B1147" s="2961" t="s">
        <v>4021</v>
      </c>
      <c r="C1147" s="2961">
        <v>2</v>
      </c>
      <c r="D1147" s="2961">
        <v>1502</v>
      </c>
      <c r="E1147" s="2961" t="s">
        <v>4263</v>
      </c>
      <c r="F1147" s="2961">
        <v>54.32</v>
      </c>
    </row>
    <row r="1148" spans="1:6">
      <c r="A1148" s="2961">
        <v>1146</v>
      </c>
      <c r="B1148" s="2961" t="s">
        <v>4021</v>
      </c>
      <c r="C1148" s="2961">
        <v>2</v>
      </c>
      <c r="D1148" s="2961">
        <v>1503</v>
      </c>
      <c r="E1148" s="2961" t="s">
        <v>4264</v>
      </c>
      <c r="F1148" s="2961">
        <v>54.32</v>
      </c>
    </row>
    <row r="1149" spans="1:6">
      <c r="A1149" s="2961">
        <v>1147</v>
      </c>
      <c r="B1149" s="2961" t="s">
        <v>4021</v>
      </c>
      <c r="C1149" s="2961">
        <v>2</v>
      </c>
      <c r="D1149" s="2961">
        <v>1504</v>
      </c>
      <c r="E1149" s="2961" t="s">
        <v>4265</v>
      </c>
      <c r="F1149" s="2961">
        <v>54.32</v>
      </c>
    </row>
    <row r="1150" spans="1:6">
      <c r="A1150" s="2961">
        <v>1148</v>
      </c>
      <c r="B1150" s="2961" t="s">
        <v>4021</v>
      </c>
      <c r="C1150" s="2961">
        <v>2</v>
      </c>
      <c r="D1150" s="2961">
        <v>1505</v>
      </c>
      <c r="E1150" s="2961" t="s">
        <v>4266</v>
      </c>
      <c r="F1150" s="2961">
        <v>54.32</v>
      </c>
    </row>
    <row r="1151" spans="1:6">
      <c r="A1151" s="2961">
        <v>1149</v>
      </c>
      <c r="B1151" s="2961" t="s">
        <v>4021</v>
      </c>
      <c r="C1151" s="2961">
        <v>2</v>
      </c>
      <c r="D1151" s="2961">
        <v>1507</v>
      </c>
      <c r="E1151" s="2961" t="s">
        <v>4267</v>
      </c>
      <c r="F1151" s="2961">
        <v>41.33</v>
      </c>
    </row>
    <row r="1152" spans="1:6">
      <c r="A1152" s="2961">
        <v>1150</v>
      </c>
      <c r="B1152" s="2961" t="s">
        <v>4021</v>
      </c>
      <c r="C1152" s="2961">
        <v>2</v>
      </c>
      <c r="D1152" s="2961">
        <v>1508</v>
      </c>
      <c r="E1152" s="2961" t="s">
        <v>4268</v>
      </c>
      <c r="F1152" s="2961">
        <v>41.33</v>
      </c>
    </row>
    <row r="1153" spans="1:6">
      <c r="A1153" s="2961">
        <v>1151</v>
      </c>
      <c r="B1153" s="2961" t="s">
        <v>4021</v>
      </c>
      <c r="C1153" s="2961">
        <v>2</v>
      </c>
      <c r="D1153" s="2961">
        <v>1510</v>
      </c>
      <c r="E1153" s="2961" t="s">
        <v>4269</v>
      </c>
      <c r="F1153" s="2961">
        <v>41.33</v>
      </c>
    </row>
    <row r="1154" spans="1:6">
      <c r="A1154" s="2961">
        <v>1152</v>
      </c>
      <c r="B1154" s="2961" t="s">
        <v>4021</v>
      </c>
      <c r="C1154" s="2961">
        <v>2</v>
      </c>
      <c r="D1154" s="2961">
        <v>1602</v>
      </c>
      <c r="E1154" s="2961" t="s">
        <v>4270</v>
      </c>
      <c r="F1154" s="2961">
        <v>54.32</v>
      </c>
    </row>
    <row r="1155" spans="1:6">
      <c r="A1155" s="2961">
        <v>1153</v>
      </c>
      <c r="B1155" s="2961" t="s">
        <v>4021</v>
      </c>
      <c r="C1155" s="2961">
        <v>2</v>
      </c>
      <c r="D1155" s="2961">
        <v>1603</v>
      </c>
      <c r="E1155" s="2961" t="s">
        <v>4271</v>
      </c>
      <c r="F1155" s="2961">
        <v>54.32</v>
      </c>
    </row>
    <row r="1156" spans="1:6">
      <c r="A1156" s="2961">
        <v>1154</v>
      </c>
      <c r="B1156" s="2961" t="s">
        <v>4021</v>
      </c>
      <c r="C1156" s="2961">
        <v>2</v>
      </c>
      <c r="D1156" s="2961">
        <v>1604</v>
      </c>
      <c r="E1156" s="2961" t="s">
        <v>4272</v>
      </c>
      <c r="F1156" s="2961">
        <v>54.32</v>
      </c>
    </row>
    <row r="1157" spans="1:6">
      <c r="A1157" s="2961">
        <v>1155</v>
      </c>
      <c r="B1157" s="2961" t="s">
        <v>4021</v>
      </c>
      <c r="C1157" s="2961">
        <v>2</v>
      </c>
      <c r="D1157" s="2961">
        <v>1605</v>
      </c>
      <c r="E1157" s="2961" t="s">
        <v>4273</v>
      </c>
      <c r="F1157" s="2961">
        <v>54.32</v>
      </c>
    </row>
    <row r="1158" spans="1:6">
      <c r="A1158" s="2961">
        <v>1156</v>
      </c>
      <c r="B1158" s="2961" t="s">
        <v>4021</v>
      </c>
      <c r="C1158" s="2961">
        <v>2</v>
      </c>
      <c r="D1158" s="2961">
        <v>1607</v>
      </c>
      <c r="E1158" s="2961" t="s">
        <v>4274</v>
      </c>
      <c r="F1158" s="2961">
        <v>41.33</v>
      </c>
    </row>
    <row r="1159" spans="1:6">
      <c r="A1159" s="2961">
        <v>1157</v>
      </c>
      <c r="B1159" s="2961" t="s">
        <v>4021</v>
      </c>
      <c r="C1159" s="2961">
        <v>2</v>
      </c>
      <c r="D1159" s="2961">
        <v>1608</v>
      </c>
      <c r="E1159" s="2961" t="s">
        <v>4275</v>
      </c>
      <c r="F1159" s="2961">
        <v>41.33</v>
      </c>
    </row>
    <row r="1160" spans="1:6">
      <c r="A1160" s="2961">
        <v>1158</v>
      </c>
      <c r="B1160" s="2961" t="s">
        <v>4021</v>
      </c>
      <c r="C1160" s="2961">
        <v>2</v>
      </c>
      <c r="D1160" s="2961">
        <v>1610</v>
      </c>
      <c r="E1160" s="2961" t="s">
        <v>4276</v>
      </c>
      <c r="F1160" s="2961">
        <v>41.33</v>
      </c>
    </row>
    <row r="1161" spans="1:6">
      <c r="A1161" s="2961">
        <v>1159</v>
      </c>
      <c r="B1161" s="2961" t="s">
        <v>4021</v>
      </c>
      <c r="C1161" s="2961">
        <v>2</v>
      </c>
      <c r="D1161" s="2961">
        <v>1701</v>
      </c>
      <c r="E1161" s="2961" t="s">
        <v>4277</v>
      </c>
      <c r="F1161" s="2961">
        <v>53.08</v>
      </c>
    </row>
    <row r="1162" spans="1:6">
      <c r="A1162" s="2961">
        <v>1160</v>
      </c>
      <c r="B1162" s="2961" t="s">
        <v>4021</v>
      </c>
      <c r="C1162" s="2961">
        <v>2</v>
      </c>
      <c r="D1162" s="2961">
        <v>1702</v>
      </c>
      <c r="E1162" s="2961" t="s">
        <v>4278</v>
      </c>
      <c r="F1162" s="2961">
        <v>54.32</v>
      </c>
    </row>
    <row r="1163" spans="1:6">
      <c r="A1163" s="2961">
        <v>1161</v>
      </c>
      <c r="B1163" s="2961" t="s">
        <v>4021</v>
      </c>
      <c r="C1163" s="2961">
        <v>2</v>
      </c>
      <c r="D1163" s="2961">
        <v>1703</v>
      </c>
      <c r="E1163" s="2961" t="s">
        <v>4279</v>
      </c>
      <c r="F1163" s="2961">
        <v>54.32</v>
      </c>
    </row>
    <row r="1164" spans="1:6">
      <c r="A1164" s="2961">
        <v>1162</v>
      </c>
      <c r="B1164" s="2961" t="s">
        <v>4021</v>
      </c>
      <c r="C1164" s="2961">
        <v>2</v>
      </c>
      <c r="D1164" s="2961">
        <v>1704</v>
      </c>
      <c r="E1164" s="2961" t="s">
        <v>4280</v>
      </c>
      <c r="F1164" s="2961">
        <v>54.32</v>
      </c>
    </row>
    <row r="1165" spans="1:6">
      <c r="A1165" s="2961">
        <v>1163</v>
      </c>
      <c r="B1165" s="2961" t="s">
        <v>4021</v>
      </c>
      <c r="C1165" s="2961">
        <v>2</v>
      </c>
      <c r="D1165" s="2961">
        <v>1705</v>
      </c>
      <c r="E1165" s="2961" t="s">
        <v>4281</v>
      </c>
      <c r="F1165" s="2961">
        <v>54.32</v>
      </c>
    </row>
    <row r="1166" spans="1:6">
      <c r="A1166" s="2961">
        <v>1164</v>
      </c>
      <c r="B1166" s="2961" t="s">
        <v>4021</v>
      </c>
      <c r="C1166" s="2961">
        <v>2</v>
      </c>
      <c r="D1166" s="2961">
        <v>1707</v>
      </c>
      <c r="E1166" s="2961" t="s">
        <v>4282</v>
      </c>
      <c r="F1166" s="2961">
        <v>41.33</v>
      </c>
    </row>
    <row r="1167" spans="1:6">
      <c r="A1167" s="2961">
        <v>1165</v>
      </c>
      <c r="B1167" s="2961" t="s">
        <v>4021</v>
      </c>
      <c r="C1167" s="2961">
        <v>2</v>
      </c>
      <c r="D1167" s="2961">
        <v>1708</v>
      </c>
      <c r="E1167" s="2961" t="s">
        <v>4283</v>
      </c>
      <c r="F1167" s="2961">
        <v>41.33</v>
      </c>
    </row>
    <row r="1168" spans="1:6">
      <c r="A1168" s="2961">
        <v>1166</v>
      </c>
      <c r="B1168" s="2961" t="s">
        <v>4021</v>
      </c>
      <c r="C1168" s="2961">
        <v>2</v>
      </c>
      <c r="D1168" s="2961">
        <v>1709</v>
      </c>
      <c r="E1168" s="2961" t="s">
        <v>4284</v>
      </c>
      <c r="F1168" s="2961">
        <v>41.33</v>
      </c>
    </row>
    <row r="1169" spans="1:6">
      <c r="A1169" s="2961">
        <v>1167</v>
      </c>
      <c r="B1169" s="2961" t="s">
        <v>4021</v>
      </c>
      <c r="C1169" s="2961">
        <v>2</v>
      </c>
      <c r="D1169" s="2961">
        <v>1802</v>
      </c>
      <c r="E1169" s="2961" t="s">
        <v>4285</v>
      </c>
      <c r="F1169" s="2961">
        <v>54.32</v>
      </c>
    </row>
    <row r="1170" spans="1:6">
      <c r="A1170" s="2961">
        <v>1168</v>
      </c>
      <c r="B1170" s="2961" t="s">
        <v>4021</v>
      </c>
      <c r="C1170" s="2961">
        <v>2</v>
      </c>
      <c r="D1170" s="2961">
        <v>1803</v>
      </c>
      <c r="E1170" s="2961" t="s">
        <v>4286</v>
      </c>
      <c r="F1170" s="2961">
        <v>54.32</v>
      </c>
    </row>
    <row r="1171" spans="1:6">
      <c r="A1171" s="2961">
        <v>1169</v>
      </c>
      <c r="B1171" s="2961" t="s">
        <v>4021</v>
      </c>
      <c r="C1171" s="2961">
        <v>2</v>
      </c>
      <c r="D1171" s="2961">
        <v>1804</v>
      </c>
      <c r="E1171" s="2961" t="s">
        <v>4287</v>
      </c>
      <c r="F1171" s="2961">
        <v>54.32</v>
      </c>
    </row>
    <row r="1172" spans="1:6">
      <c r="A1172" s="2961">
        <v>1170</v>
      </c>
      <c r="B1172" s="2961" t="s">
        <v>4021</v>
      </c>
      <c r="C1172" s="2961">
        <v>2</v>
      </c>
      <c r="D1172" s="2961">
        <v>1805</v>
      </c>
      <c r="E1172" s="2961" t="s">
        <v>4288</v>
      </c>
      <c r="F1172" s="2961">
        <v>54.32</v>
      </c>
    </row>
    <row r="1173" spans="1:6">
      <c r="A1173" s="2961">
        <v>1171</v>
      </c>
      <c r="B1173" s="2961" t="s">
        <v>4021</v>
      </c>
      <c r="C1173" s="2961">
        <v>2</v>
      </c>
      <c r="D1173" s="2961">
        <v>1807</v>
      </c>
      <c r="E1173" s="2961" t="s">
        <v>4289</v>
      </c>
      <c r="F1173" s="2961">
        <v>41.33</v>
      </c>
    </row>
    <row r="1174" spans="1:6">
      <c r="A1174" s="2961">
        <v>1172</v>
      </c>
      <c r="B1174" s="2961" t="s">
        <v>4021</v>
      </c>
      <c r="C1174" s="2961">
        <v>2</v>
      </c>
      <c r="D1174" s="2961">
        <v>1808</v>
      </c>
      <c r="E1174" s="2961" t="s">
        <v>4290</v>
      </c>
      <c r="F1174" s="2961">
        <v>41.33</v>
      </c>
    </row>
    <row r="1175" spans="1:6">
      <c r="A1175" s="2961">
        <v>1173</v>
      </c>
      <c r="B1175" s="2961" t="s">
        <v>4021</v>
      </c>
      <c r="C1175" s="2961">
        <v>2</v>
      </c>
      <c r="D1175" s="2961">
        <v>1809</v>
      </c>
      <c r="E1175" s="2961" t="s">
        <v>4291</v>
      </c>
      <c r="F1175" s="2961">
        <v>41.33</v>
      </c>
    </row>
    <row r="1176" spans="1:6">
      <c r="A1176" s="2961">
        <v>1174</v>
      </c>
      <c r="B1176" s="2961" t="s">
        <v>4021</v>
      </c>
      <c r="C1176" s="2961">
        <v>2</v>
      </c>
      <c r="D1176" s="2961">
        <v>1905</v>
      </c>
      <c r="E1176" s="2961" t="s">
        <v>4292</v>
      </c>
      <c r="F1176" s="2961">
        <v>54.32</v>
      </c>
    </row>
    <row r="1177" spans="1:6">
      <c r="A1177" s="2961">
        <v>1175</v>
      </c>
      <c r="B1177" s="2961" t="s">
        <v>4021</v>
      </c>
      <c r="C1177" s="2961">
        <v>2</v>
      </c>
      <c r="D1177" s="2961">
        <v>1906</v>
      </c>
      <c r="E1177" s="2961" t="s">
        <v>4293</v>
      </c>
      <c r="F1177" s="2961">
        <v>44.22</v>
      </c>
    </row>
    <row r="1178" spans="1:6">
      <c r="A1178" s="2961">
        <v>1176</v>
      </c>
      <c r="B1178" s="2961" t="s">
        <v>4021</v>
      </c>
      <c r="C1178" s="2961">
        <v>2</v>
      </c>
      <c r="D1178" s="2961">
        <v>1907</v>
      </c>
      <c r="E1178" s="2961" t="s">
        <v>4294</v>
      </c>
      <c r="F1178" s="2961">
        <v>41.33</v>
      </c>
    </row>
    <row r="1179" spans="1:6">
      <c r="A1179" s="2961">
        <v>1177</v>
      </c>
      <c r="B1179" s="2961" t="s">
        <v>4021</v>
      </c>
      <c r="C1179" s="2961">
        <v>2</v>
      </c>
      <c r="D1179" s="2961">
        <v>1908</v>
      </c>
      <c r="E1179" s="2961" t="s">
        <v>4295</v>
      </c>
      <c r="F1179" s="2961">
        <v>41.33</v>
      </c>
    </row>
    <row r="1180" spans="1:6">
      <c r="A1180" s="2961">
        <v>1178</v>
      </c>
      <c r="B1180" s="2961" t="s">
        <v>4021</v>
      </c>
      <c r="C1180" s="2961">
        <v>2</v>
      </c>
      <c r="D1180" s="2961">
        <v>1909</v>
      </c>
      <c r="E1180" s="2961" t="s">
        <v>4296</v>
      </c>
      <c r="F1180" s="2961">
        <v>41.33</v>
      </c>
    </row>
    <row r="1181" spans="1:6">
      <c r="A1181" s="2961">
        <v>1179</v>
      </c>
      <c r="B1181" s="2961" t="s">
        <v>4021</v>
      </c>
      <c r="C1181" s="2961">
        <v>2</v>
      </c>
      <c r="D1181" s="2961">
        <v>1910</v>
      </c>
      <c r="E1181" s="2961" t="s">
        <v>4297</v>
      </c>
      <c r="F1181" s="2961">
        <v>41.33</v>
      </c>
    </row>
    <row r="1182" spans="1:6">
      <c r="A1182" s="2961">
        <v>1180</v>
      </c>
      <c r="B1182" s="2961" t="s">
        <v>4021</v>
      </c>
      <c r="C1182" s="2961">
        <v>2</v>
      </c>
      <c r="D1182" s="2961">
        <v>2002</v>
      </c>
      <c r="E1182" s="2961" t="s">
        <v>4298</v>
      </c>
      <c r="F1182" s="2961">
        <v>54.32</v>
      </c>
    </row>
    <row r="1183" spans="1:6">
      <c r="A1183" s="2961">
        <v>1181</v>
      </c>
      <c r="B1183" s="2961" t="s">
        <v>4021</v>
      </c>
      <c r="C1183" s="2961">
        <v>2</v>
      </c>
      <c r="D1183" s="2961">
        <v>2003</v>
      </c>
      <c r="E1183" s="2961" t="s">
        <v>4299</v>
      </c>
      <c r="F1183" s="2961">
        <v>54.32</v>
      </c>
    </row>
    <row r="1184" spans="1:6">
      <c r="A1184" s="2961">
        <v>1182</v>
      </c>
      <c r="B1184" s="2961" t="s">
        <v>4021</v>
      </c>
      <c r="C1184" s="2961">
        <v>2</v>
      </c>
      <c r="D1184" s="2961">
        <v>2004</v>
      </c>
      <c r="E1184" s="2961" t="s">
        <v>4300</v>
      </c>
      <c r="F1184" s="2961">
        <v>54.32</v>
      </c>
    </row>
    <row r="1185" spans="1:6">
      <c r="A1185" s="2961">
        <v>1183</v>
      </c>
      <c r="B1185" s="2961" t="s">
        <v>4021</v>
      </c>
      <c r="C1185" s="2961">
        <v>2</v>
      </c>
      <c r="D1185" s="2961">
        <v>2005</v>
      </c>
      <c r="E1185" s="2961" t="s">
        <v>4301</v>
      </c>
      <c r="F1185" s="2961">
        <v>54.32</v>
      </c>
    </row>
    <row r="1186" spans="1:6">
      <c r="A1186" s="2961">
        <v>1184</v>
      </c>
      <c r="B1186" s="2961" t="s">
        <v>4021</v>
      </c>
      <c r="C1186" s="2961">
        <v>2</v>
      </c>
      <c r="D1186" s="2961">
        <v>2007</v>
      </c>
      <c r="E1186" s="2961" t="s">
        <v>4302</v>
      </c>
      <c r="F1186" s="2961">
        <v>41.33</v>
      </c>
    </row>
    <row r="1187" spans="1:6">
      <c r="A1187" s="2961">
        <v>1185</v>
      </c>
      <c r="B1187" s="2961" t="s">
        <v>4021</v>
      </c>
      <c r="C1187" s="2961">
        <v>2</v>
      </c>
      <c r="D1187" s="2961">
        <v>2008</v>
      </c>
      <c r="E1187" s="2961" t="s">
        <v>4303</v>
      </c>
      <c r="F1187" s="2961">
        <v>41.33</v>
      </c>
    </row>
    <row r="1188" spans="1:6">
      <c r="A1188" s="2961">
        <v>1186</v>
      </c>
      <c r="B1188" s="2961" t="s">
        <v>4021</v>
      </c>
      <c r="C1188" s="2961">
        <v>2</v>
      </c>
      <c r="D1188" s="2961">
        <v>2009</v>
      </c>
      <c r="E1188" s="2961" t="s">
        <v>4304</v>
      </c>
      <c r="F1188" s="2961">
        <v>41.33</v>
      </c>
    </row>
    <row r="1189" spans="1:6">
      <c r="A1189" s="2961">
        <v>1187</v>
      </c>
      <c r="B1189" s="2961" t="s">
        <v>4021</v>
      </c>
      <c r="C1189" s="2961">
        <v>2</v>
      </c>
      <c r="D1189" s="2961">
        <v>2011</v>
      </c>
      <c r="E1189" s="2961" t="s">
        <v>4305</v>
      </c>
      <c r="F1189" s="2961">
        <v>41.33</v>
      </c>
    </row>
    <row r="1190" spans="1:6">
      <c r="A1190" s="2961">
        <v>1188</v>
      </c>
      <c r="B1190" s="2961" t="s">
        <v>4306</v>
      </c>
      <c r="D1190" s="2961">
        <v>109</v>
      </c>
      <c r="E1190" s="2961" t="s">
        <v>4307</v>
      </c>
      <c r="F1190" s="2961">
        <v>81.430000000000007</v>
      </c>
    </row>
    <row r="1191" spans="1:6">
      <c r="A1191" s="2961">
        <v>1189</v>
      </c>
      <c r="B1191" s="2961" t="s">
        <v>4306</v>
      </c>
      <c r="D1191" s="2961">
        <v>202</v>
      </c>
      <c r="E1191" s="2961" t="s">
        <v>4308</v>
      </c>
      <c r="F1191" s="2961">
        <v>91.06</v>
      </c>
    </row>
    <row r="1192" spans="1:6">
      <c r="A1192" s="2961">
        <v>1190</v>
      </c>
      <c r="B1192" s="2961" t="s">
        <v>4306</v>
      </c>
      <c r="D1192" s="2961">
        <v>218</v>
      </c>
      <c r="E1192" s="2961" t="s">
        <v>4309</v>
      </c>
      <c r="F1192" s="2961">
        <v>81.75</v>
      </c>
    </row>
    <row r="1193" spans="1:6">
      <c r="A1193" s="2961">
        <v>1191</v>
      </c>
      <c r="B1193" s="2961" t="s">
        <v>4306</v>
      </c>
      <c r="D1193" s="2961">
        <v>901</v>
      </c>
      <c r="E1193" s="2961" t="s">
        <v>4310</v>
      </c>
      <c r="F1193" s="2961">
        <v>50.75</v>
      </c>
    </row>
    <row r="1194" spans="1:6">
      <c r="A1194" s="2961">
        <v>1192</v>
      </c>
      <c r="B1194" s="2961" t="s">
        <v>4306</v>
      </c>
      <c r="D1194" s="2961">
        <v>1013</v>
      </c>
      <c r="E1194" s="2961" t="s">
        <v>4311</v>
      </c>
      <c r="F1194" s="2961">
        <v>46.26</v>
      </c>
    </row>
    <row r="1195" spans="1:6">
      <c r="A1195" s="2961">
        <v>1193</v>
      </c>
      <c r="B1195" s="2961" t="s">
        <v>4306</v>
      </c>
      <c r="D1195" s="2961">
        <v>1118</v>
      </c>
      <c r="E1195" s="2961" t="s">
        <v>4312</v>
      </c>
      <c r="F1195" s="2961">
        <v>81.75</v>
      </c>
    </row>
    <row r="1196" spans="1:6">
      <c r="A1196" s="2961">
        <v>1194</v>
      </c>
      <c r="B1196" s="2961" t="s">
        <v>4313</v>
      </c>
      <c r="D1196" s="2961" t="s">
        <v>4314</v>
      </c>
      <c r="E1196" s="2961" t="s">
        <v>4315</v>
      </c>
      <c r="F1196" s="2961">
        <v>146.05000000000001</v>
      </c>
    </row>
    <row r="1197" spans="1:6">
      <c r="A1197" s="2961">
        <v>1195</v>
      </c>
      <c r="B1197" s="2961" t="s">
        <v>4313</v>
      </c>
      <c r="D1197" s="2961" t="s">
        <v>4316</v>
      </c>
      <c r="E1197" s="2961" t="s">
        <v>4317</v>
      </c>
      <c r="F1197" s="2961">
        <v>172.99</v>
      </c>
    </row>
    <row r="1198" spans="1:6">
      <c r="A1198" s="2961">
        <v>1196</v>
      </c>
      <c r="B1198" s="2961" t="s">
        <v>4313</v>
      </c>
      <c r="D1198" s="2961" t="s">
        <v>4318</v>
      </c>
      <c r="E1198" s="2961" t="s">
        <v>4319</v>
      </c>
      <c r="F1198" s="2961">
        <v>231.48</v>
      </c>
    </row>
    <row r="1199" spans="1:6">
      <c r="A1199" s="2961">
        <v>1197</v>
      </c>
      <c r="B1199" s="2961" t="s">
        <v>4313</v>
      </c>
      <c r="D1199" s="2961" t="s">
        <v>4320</v>
      </c>
      <c r="E1199" s="2961" t="s">
        <v>4321</v>
      </c>
      <c r="F1199" s="2961">
        <v>152.37</v>
      </c>
    </row>
    <row r="1200" spans="1:6">
      <c r="A1200" s="2961">
        <v>1198</v>
      </c>
      <c r="B1200" s="2961" t="s">
        <v>4313</v>
      </c>
      <c r="D1200" s="2961" t="s">
        <v>4322</v>
      </c>
      <c r="E1200" s="2961" t="s">
        <v>4323</v>
      </c>
      <c r="F1200" s="2961">
        <v>175.08</v>
      </c>
    </row>
    <row r="1201" spans="1:6">
      <c r="A1201" s="2961">
        <v>1199</v>
      </c>
      <c r="B1201" s="2961" t="s">
        <v>4313</v>
      </c>
      <c r="D1201" s="2961" t="s">
        <v>4324</v>
      </c>
      <c r="E1201" s="2961" t="s">
        <v>4325</v>
      </c>
      <c r="F1201" s="2961">
        <v>215.02</v>
      </c>
    </row>
    <row r="1202" spans="1:6">
      <c r="A1202" s="2961">
        <v>1200</v>
      </c>
      <c r="B1202" s="2961" t="s">
        <v>4313</v>
      </c>
      <c r="D1202" s="2961" t="s">
        <v>4326</v>
      </c>
      <c r="E1202" s="2961" t="s">
        <v>4327</v>
      </c>
      <c r="F1202" s="2961">
        <v>179.94</v>
      </c>
    </row>
    <row r="1203" spans="1:6">
      <c r="A1203" s="2961">
        <v>1201</v>
      </c>
      <c r="B1203" s="2961" t="s">
        <v>4313</v>
      </c>
      <c r="D1203" s="2961" t="s">
        <v>4328</v>
      </c>
      <c r="E1203" s="2961" t="s">
        <v>4329</v>
      </c>
      <c r="F1203" s="2961">
        <v>273.37</v>
      </c>
    </row>
    <row r="1204" spans="1:6">
      <c r="A1204" s="2961">
        <v>1202</v>
      </c>
      <c r="B1204" s="2961" t="s">
        <v>4313</v>
      </c>
      <c r="D1204" s="2961" t="s">
        <v>4330</v>
      </c>
      <c r="E1204" s="2961" t="s">
        <v>4331</v>
      </c>
      <c r="F1204" s="2961">
        <v>146.05000000000001</v>
      </c>
    </row>
    <row r="1205" spans="1:6">
      <c r="A1205" s="2961">
        <v>1203</v>
      </c>
      <c r="B1205" s="2961" t="s">
        <v>4313</v>
      </c>
      <c r="D1205" s="2961" t="s">
        <v>4332</v>
      </c>
      <c r="E1205" s="2961" t="s">
        <v>4333</v>
      </c>
      <c r="F1205" s="2961">
        <v>172.99</v>
      </c>
    </row>
    <row r="1206" spans="1:6">
      <c r="A1206" s="2961">
        <v>1204</v>
      </c>
      <c r="B1206" s="2961" t="s">
        <v>4313</v>
      </c>
      <c r="D1206" s="2961" t="s">
        <v>4334</v>
      </c>
      <c r="E1206" s="2961" t="s">
        <v>4335</v>
      </c>
      <c r="F1206" s="2961">
        <v>231.48</v>
      </c>
    </row>
    <row r="1207" spans="1:6">
      <c r="A1207" s="2961">
        <v>1205</v>
      </c>
      <c r="B1207" s="2961" t="s">
        <v>4313</v>
      </c>
      <c r="D1207" s="2961" t="s">
        <v>4336</v>
      </c>
      <c r="E1207" s="2961" t="s">
        <v>4337</v>
      </c>
      <c r="F1207" s="2961">
        <v>152.37</v>
      </c>
    </row>
    <row r="1208" spans="1:6">
      <c r="A1208" s="2961">
        <v>1206</v>
      </c>
      <c r="B1208" s="2961" t="s">
        <v>4313</v>
      </c>
      <c r="D1208" s="2961" t="s">
        <v>4338</v>
      </c>
      <c r="E1208" s="2961" t="s">
        <v>4339</v>
      </c>
      <c r="F1208" s="2961">
        <v>175.08</v>
      </c>
    </row>
    <row r="1209" spans="1:6">
      <c r="A1209" s="2961">
        <v>1207</v>
      </c>
      <c r="B1209" s="2961" t="s">
        <v>4313</v>
      </c>
      <c r="D1209" s="2961" t="s">
        <v>4340</v>
      </c>
      <c r="E1209" s="2961" t="s">
        <v>4341</v>
      </c>
      <c r="F1209" s="2961">
        <v>215.02</v>
      </c>
    </row>
    <row r="1210" spans="1:6">
      <c r="A1210" s="2961">
        <v>1208</v>
      </c>
      <c r="B1210" s="2961" t="s">
        <v>4313</v>
      </c>
      <c r="D1210" s="2961" t="s">
        <v>4342</v>
      </c>
      <c r="E1210" s="2961" t="s">
        <v>4343</v>
      </c>
      <c r="F1210" s="2961">
        <v>179.94</v>
      </c>
    </row>
    <row r="1211" spans="1:6">
      <c r="A1211" s="2961">
        <v>1209</v>
      </c>
      <c r="B1211" s="2961" t="s">
        <v>4313</v>
      </c>
      <c r="D1211" s="2961" t="s">
        <v>4344</v>
      </c>
      <c r="E1211" s="2961" t="s">
        <v>4345</v>
      </c>
      <c r="F1211" s="2961">
        <v>273.37</v>
      </c>
    </row>
    <row r="1212" spans="1:6">
      <c r="A1212" s="2961">
        <v>1210</v>
      </c>
      <c r="B1212" s="2961" t="s">
        <v>4313</v>
      </c>
      <c r="D1212" s="2961" t="s">
        <v>4346</v>
      </c>
      <c r="E1212" s="2961" t="s">
        <v>4347</v>
      </c>
      <c r="F1212" s="2961">
        <v>146.05000000000001</v>
      </c>
    </row>
    <row r="1213" spans="1:6">
      <c r="A1213" s="2961">
        <v>1211</v>
      </c>
      <c r="B1213" s="2961" t="s">
        <v>4313</v>
      </c>
      <c r="D1213" s="2961" t="s">
        <v>4348</v>
      </c>
      <c r="E1213" s="2961" t="s">
        <v>4349</v>
      </c>
      <c r="F1213" s="2961">
        <v>172.99</v>
      </c>
    </row>
    <row r="1214" spans="1:6">
      <c r="A1214" s="2961">
        <v>1212</v>
      </c>
      <c r="B1214" s="2961" t="s">
        <v>4313</v>
      </c>
      <c r="D1214" s="2961" t="s">
        <v>4350</v>
      </c>
      <c r="E1214" s="2961" t="s">
        <v>4351</v>
      </c>
      <c r="F1214" s="2961">
        <v>231.48</v>
      </c>
    </row>
    <row r="1215" spans="1:6">
      <c r="A1215" s="2961">
        <v>1213</v>
      </c>
      <c r="B1215" s="2961" t="s">
        <v>4313</v>
      </c>
      <c r="D1215" s="2961" t="s">
        <v>4352</v>
      </c>
      <c r="E1215" s="2961" t="s">
        <v>4353</v>
      </c>
      <c r="F1215" s="2961">
        <v>152.37</v>
      </c>
    </row>
    <row r="1216" spans="1:6">
      <c r="A1216" s="2961">
        <v>1214</v>
      </c>
      <c r="B1216" s="2961" t="s">
        <v>4313</v>
      </c>
      <c r="D1216" s="2961" t="s">
        <v>4354</v>
      </c>
      <c r="E1216" s="2961" t="s">
        <v>4355</v>
      </c>
      <c r="F1216" s="2961">
        <v>175.08</v>
      </c>
    </row>
    <row r="1217" spans="1:6">
      <c r="A1217" s="2961">
        <v>1215</v>
      </c>
      <c r="B1217" s="2961" t="s">
        <v>4313</v>
      </c>
      <c r="D1217" s="2961" t="s">
        <v>4356</v>
      </c>
      <c r="E1217" s="2961" t="s">
        <v>4357</v>
      </c>
      <c r="F1217" s="2961">
        <v>215.02</v>
      </c>
    </row>
    <row r="1218" spans="1:6">
      <c r="A1218" s="2961">
        <v>1216</v>
      </c>
      <c r="B1218" s="2961" t="s">
        <v>4313</v>
      </c>
      <c r="D1218" s="2961" t="s">
        <v>4358</v>
      </c>
      <c r="E1218" s="2961" t="s">
        <v>4359</v>
      </c>
      <c r="F1218" s="2961">
        <v>179.94</v>
      </c>
    </row>
    <row r="1219" spans="1:6">
      <c r="A1219" s="2961">
        <v>1217</v>
      </c>
      <c r="B1219" s="2961" t="s">
        <v>4313</v>
      </c>
      <c r="D1219" s="2961" t="s">
        <v>4360</v>
      </c>
      <c r="E1219" s="2961" t="s">
        <v>4361</v>
      </c>
      <c r="F1219" s="2961">
        <v>273.37</v>
      </c>
    </row>
    <row r="1220" spans="1:6">
      <c r="A1220" s="2961">
        <v>1218</v>
      </c>
      <c r="B1220" s="2961" t="s">
        <v>4313</v>
      </c>
      <c r="D1220" s="2961" t="s">
        <v>4362</v>
      </c>
      <c r="E1220" s="2961" t="s">
        <v>4363</v>
      </c>
      <c r="F1220" s="2961">
        <v>146.05000000000001</v>
      </c>
    </row>
    <row r="1221" spans="1:6">
      <c r="A1221" s="2961">
        <v>1219</v>
      </c>
      <c r="B1221" s="2961" t="s">
        <v>4313</v>
      </c>
      <c r="D1221" s="2961" t="s">
        <v>4364</v>
      </c>
      <c r="E1221" s="2961" t="s">
        <v>4365</v>
      </c>
      <c r="F1221" s="2961">
        <v>172.99</v>
      </c>
    </row>
    <row r="1222" spans="1:6">
      <c r="A1222" s="2961">
        <v>1220</v>
      </c>
      <c r="B1222" s="2961" t="s">
        <v>4313</v>
      </c>
      <c r="D1222" s="2961" t="s">
        <v>4366</v>
      </c>
      <c r="E1222" s="2961" t="s">
        <v>4367</v>
      </c>
      <c r="F1222" s="2961">
        <v>231.48</v>
      </c>
    </row>
    <row r="1223" spans="1:6">
      <c r="A1223" s="2961">
        <v>1221</v>
      </c>
      <c r="B1223" s="2961" t="s">
        <v>4313</v>
      </c>
      <c r="D1223" s="2961" t="s">
        <v>4368</v>
      </c>
      <c r="E1223" s="2961" t="s">
        <v>4369</v>
      </c>
      <c r="F1223" s="2961">
        <v>152.37</v>
      </c>
    </row>
    <row r="1224" spans="1:6">
      <c r="A1224" s="2961">
        <v>1222</v>
      </c>
      <c r="B1224" s="2961" t="s">
        <v>4313</v>
      </c>
      <c r="D1224" s="2961" t="s">
        <v>4370</v>
      </c>
      <c r="E1224" s="2961" t="s">
        <v>4371</v>
      </c>
      <c r="F1224" s="2961">
        <v>175.08</v>
      </c>
    </row>
    <row r="1225" spans="1:6">
      <c r="A1225" s="2961">
        <v>1223</v>
      </c>
      <c r="B1225" s="2961" t="s">
        <v>4313</v>
      </c>
      <c r="D1225" s="2961" t="s">
        <v>4372</v>
      </c>
      <c r="E1225" s="2961" t="s">
        <v>4373</v>
      </c>
      <c r="F1225" s="2961">
        <v>215.02</v>
      </c>
    </row>
    <row r="1226" spans="1:6">
      <c r="A1226" s="2961">
        <v>1224</v>
      </c>
      <c r="B1226" s="2961" t="s">
        <v>4313</v>
      </c>
      <c r="D1226" s="2961" t="s">
        <v>4374</v>
      </c>
      <c r="E1226" s="2961" t="s">
        <v>4375</v>
      </c>
      <c r="F1226" s="2961">
        <v>179.94</v>
      </c>
    </row>
    <row r="1227" spans="1:6">
      <c r="A1227" s="2961">
        <v>1225</v>
      </c>
      <c r="B1227" s="2961" t="s">
        <v>4313</v>
      </c>
      <c r="D1227" s="2961" t="s">
        <v>4376</v>
      </c>
      <c r="E1227" s="2961" t="s">
        <v>4377</v>
      </c>
      <c r="F1227" s="2961">
        <v>273.37</v>
      </c>
    </row>
    <row r="1228" spans="1:6">
      <c r="A1228" s="2961">
        <v>1226</v>
      </c>
      <c r="B1228" s="2961" t="s">
        <v>4313</v>
      </c>
      <c r="D1228" s="2961" t="s">
        <v>4378</v>
      </c>
      <c r="E1228" s="2961" t="s">
        <v>4379</v>
      </c>
      <c r="F1228" s="2961">
        <v>146.05000000000001</v>
      </c>
    </row>
    <row r="1229" spans="1:6">
      <c r="A1229" s="2961">
        <v>1227</v>
      </c>
      <c r="B1229" s="2961" t="s">
        <v>4313</v>
      </c>
      <c r="D1229" s="2961" t="s">
        <v>4380</v>
      </c>
      <c r="E1229" s="2961" t="s">
        <v>4381</v>
      </c>
      <c r="F1229" s="2961">
        <v>172.99</v>
      </c>
    </row>
    <row r="1230" spans="1:6">
      <c r="A1230" s="2961">
        <v>1228</v>
      </c>
      <c r="B1230" s="2961" t="s">
        <v>4313</v>
      </c>
      <c r="D1230" s="2961" t="s">
        <v>4382</v>
      </c>
      <c r="E1230" s="2961" t="s">
        <v>4383</v>
      </c>
      <c r="F1230" s="2961">
        <v>231.48</v>
      </c>
    </row>
    <row r="1231" spans="1:6">
      <c r="A1231" s="2961">
        <v>1229</v>
      </c>
      <c r="B1231" s="2961" t="s">
        <v>4313</v>
      </c>
      <c r="D1231" s="2961" t="s">
        <v>4384</v>
      </c>
      <c r="E1231" s="2961" t="s">
        <v>4385</v>
      </c>
      <c r="F1231" s="2961">
        <v>152.37</v>
      </c>
    </row>
    <row r="1232" spans="1:6">
      <c r="A1232" s="2961">
        <v>1230</v>
      </c>
      <c r="B1232" s="2961" t="s">
        <v>4313</v>
      </c>
      <c r="D1232" s="2961" t="s">
        <v>4386</v>
      </c>
      <c r="E1232" s="2961" t="s">
        <v>4387</v>
      </c>
      <c r="F1232" s="2961">
        <v>175.08</v>
      </c>
    </row>
    <row r="1233" spans="1:6">
      <c r="A1233" s="2961">
        <v>1231</v>
      </c>
      <c r="B1233" s="2961" t="s">
        <v>4313</v>
      </c>
      <c r="D1233" s="2961" t="s">
        <v>4388</v>
      </c>
      <c r="E1233" s="2961" t="s">
        <v>4389</v>
      </c>
      <c r="F1233" s="2961">
        <v>215.02</v>
      </c>
    </row>
    <row r="1234" spans="1:6">
      <c r="A1234" s="2961">
        <v>1232</v>
      </c>
      <c r="B1234" s="2961" t="s">
        <v>4313</v>
      </c>
      <c r="D1234" s="2961" t="s">
        <v>4390</v>
      </c>
      <c r="E1234" s="2961" t="s">
        <v>4391</v>
      </c>
      <c r="F1234" s="2961">
        <v>179.94</v>
      </c>
    </row>
    <row r="1235" spans="1:6">
      <c r="A1235" s="2961">
        <v>1233</v>
      </c>
      <c r="B1235" s="2961" t="s">
        <v>4313</v>
      </c>
      <c r="D1235" s="2961" t="s">
        <v>4392</v>
      </c>
      <c r="E1235" s="2961" t="s">
        <v>4393</v>
      </c>
      <c r="F1235" s="2961">
        <v>273.37</v>
      </c>
    </row>
    <row r="1236" spans="1:6">
      <c r="A1236" s="2961">
        <v>1234</v>
      </c>
      <c r="B1236" s="2961" t="s">
        <v>4313</v>
      </c>
      <c r="D1236" s="2961" t="s">
        <v>4394</v>
      </c>
      <c r="E1236" s="2961" t="s">
        <v>4395</v>
      </c>
      <c r="F1236" s="2961">
        <v>146.05000000000001</v>
      </c>
    </row>
    <row r="1237" spans="1:6">
      <c r="A1237" s="2961">
        <v>1235</v>
      </c>
      <c r="B1237" s="2961" t="s">
        <v>4313</v>
      </c>
      <c r="D1237" s="2961" t="s">
        <v>4396</v>
      </c>
      <c r="E1237" s="2961" t="s">
        <v>4397</v>
      </c>
      <c r="F1237" s="2961">
        <v>172.99</v>
      </c>
    </row>
    <row r="1238" spans="1:6">
      <c r="A1238" s="2961">
        <v>1236</v>
      </c>
      <c r="B1238" s="2961" t="s">
        <v>4313</v>
      </c>
      <c r="D1238" s="2961" t="s">
        <v>4398</v>
      </c>
      <c r="E1238" s="2961" t="s">
        <v>4399</v>
      </c>
      <c r="F1238" s="2961">
        <v>231.48</v>
      </c>
    </row>
    <row r="1239" spans="1:6">
      <c r="A1239" s="2961">
        <v>1237</v>
      </c>
      <c r="B1239" s="2961" t="s">
        <v>4313</v>
      </c>
      <c r="D1239" s="2961" t="s">
        <v>4400</v>
      </c>
      <c r="E1239" s="2961" t="s">
        <v>4401</v>
      </c>
      <c r="F1239" s="2961">
        <v>152.37</v>
      </c>
    </row>
    <row r="1240" spans="1:6">
      <c r="A1240" s="2961">
        <v>1238</v>
      </c>
      <c r="B1240" s="2961" t="s">
        <v>4313</v>
      </c>
      <c r="D1240" s="2961" t="s">
        <v>4402</v>
      </c>
      <c r="E1240" s="2961" t="s">
        <v>4403</v>
      </c>
      <c r="F1240" s="2961">
        <v>175.08</v>
      </c>
    </row>
    <row r="1241" spans="1:6">
      <c r="A1241" s="2961">
        <v>1239</v>
      </c>
      <c r="B1241" s="2961" t="s">
        <v>4313</v>
      </c>
      <c r="D1241" s="2961" t="s">
        <v>4404</v>
      </c>
      <c r="E1241" s="2961" t="s">
        <v>4405</v>
      </c>
      <c r="F1241" s="2961">
        <v>215.02</v>
      </c>
    </row>
    <row r="1242" spans="1:6">
      <c r="A1242" s="2961">
        <v>1240</v>
      </c>
      <c r="B1242" s="2961" t="s">
        <v>4313</v>
      </c>
      <c r="D1242" s="2961" t="s">
        <v>4406</v>
      </c>
      <c r="E1242" s="2961" t="s">
        <v>4407</v>
      </c>
      <c r="F1242" s="2961">
        <v>179.94</v>
      </c>
    </row>
    <row r="1243" spans="1:6">
      <c r="A1243" s="2961">
        <v>1241</v>
      </c>
      <c r="B1243" s="2961" t="s">
        <v>4313</v>
      </c>
      <c r="D1243" s="2961" t="s">
        <v>4408</v>
      </c>
      <c r="E1243" s="2961" t="s">
        <v>4409</v>
      </c>
      <c r="F1243" s="2961">
        <v>273.37</v>
      </c>
    </row>
    <row r="1244" spans="1:6">
      <c r="A1244" s="2961">
        <v>1242</v>
      </c>
      <c r="B1244" s="2961" t="s">
        <v>4313</v>
      </c>
      <c r="D1244" s="2961" t="s">
        <v>4410</v>
      </c>
      <c r="E1244" s="2961" t="s">
        <v>4411</v>
      </c>
      <c r="F1244" s="2961">
        <v>146.05000000000001</v>
      </c>
    </row>
    <row r="1245" spans="1:6">
      <c r="A1245" s="2961">
        <v>1243</v>
      </c>
      <c r="B1245" s="2961" t="s">
        <v>4313</v>
      </c>
      <c r="D1245" s="2961" t="s">
        <v>4412</v>
      </c>
      <c r="E1245" s="2961" t="s">
        <v>4413</v>
      </c>
      <c r="F1245" s="2961">
        <v>172.99</v>
      </c>
    </row>
    <row r="1246" spans="1:6">
      <c r="A1246" s="2961">
        <v>1244</v>
      </c>
      <c r="B1246" s="2961" t="s">
        <v>4313</v>
      </c>
      <c r="D1246" s="2961" t="s">
        <v>4414</v>
      </c>
      <c r="E1246" s="2961" t="s">
        <v>4415</v>
      </c>
      <c r="F1246" s="2961">
        <v>231.48</v>
      </c>
    </row>
    <row r="1247" spans="1:6">
      <c r="A1247" s="2961">
        <v>1245</v>
      </c>
      <c r="B1247" s="2961" t="s">
        <v>4313</v>
      </c>
      <c r="D1247" s="2961" t="s">
        <v>4416</v>
      </c>
      <c r="E1247" s="2961" t="s">
        <v>4417</v>
      </c>
      <c r="F1247" s="2961">
        <v>152.37</v>
      </c>
    </row>
    <row r="1248" spans="1:6">
      <c r="A1248" s="2961">
        <v>1246</v>
      </c>
      <c r="B1248" s="2961" t="s">
        <v>4313</v>
      </c>
      <c r="D1248" s="2961" t="s">
        <v>4418</v>
      </c>
      <c r="E1248" s="2961" t="s">
        <v>4419</v>
      </c>
      <c r="F1248" s="2961">
        <v>175.08</v>
      </c>
    </row>
    <row r="1249" spans="1:6">
      <c r="A1249" s="2961">
        <v>1247</v>
      </c>
      <c r="B1249" s="2961" t="s">
        <v>4313</v>
      </c>
      <c r="D1249" s="2961" t="s">
        <v>4420</v>
      </c>
      <c r="E1249" s="2961" t="s">
        <v>4421</v>
      </c>
      <c r="F1249" s="2961">
        <v>215.02</v>
      </c>
    </row>
    <row r="1250" spans="1:6">
      <c r="A1250" s="2961">
        <v>1248</v>
      </c>
      <c r="B1250" s="2961" t="s">
        <v>4313</v>
      </c>
      <c r="D1250" s="2961" t="s">
        <v>4422</v>
      </c>
      <c r="E1250" s="2961" t="s">
        <v>4423</v>
      </c>
      <c r="F1250" s="2961">
        <v>179.94</v>
      </c>
    </row>
    <row r="1251" spans="1:6">
      <c r="A1251" s="2961">
        <v>1249</v>
      </c>
      <c r="B1251" s="2961" t="s">
        <v>4313</v>
      </c>
      <c r="D1251" s="2961" t="s">
        <v>4424</v>
      </c>
      <c r="E1251" s="2961" t="s">
        <v>4425</v>
      </c>
      <c r="F1251" s="2961">
        <v>273.37</v>
      </c>
    </row>
    <row r="1252" spans="1:6">
      <c r="A1252" s="2961">
        <v>1250</v>
      </c>
      <c r="B1252" s="2961" t="s">
        <v>4313</v>
      </c>
      <c r="D1252" s="2961" t="s">
        <v>4426</v>
      </c>
      <c r="E1252" s="2961" t="s">
        <v>4427</v>
      </c>
      <c r="F1252" s="2961">
        <v>146.05000000000001</v>
      </c>
    </row>
    <row r="1253" spans="1:6">
      <c r="A1253" s="2961">
        <v>1251</v>
      </c>
      <c r="B1253" s="2961" t="s">
        <v>4313</v>
      </c>
      <c r="D1253" s="2961" t="s">
        <v>4428</v>
      </c>
      <c r="E1253" s="2961" t="s">
        <v>4429</v>
      </c>
      <c r="F1253" s="2961">
        <v>172.99</v>
      </c>
    </row>
    <row r="1254" spans="1:6">
      <c r="A1254" s="2961">
        <v>1252</v>
      </c>
      <c r="B1254" s="2961" t="s">
        <v>4313</v>
      </c>
      <c r="D1254" s="2961" t="s">
        <v>4430</v>
      </c>
      <c r="E1254" s="2961" t="s">
        <v>4431</v>
      </c>
      <c r="F1254" s="2961">
        <v>231.48</v>
      </c>
    </row>
    <row r="1255" spans="1:6">
      <c r="A1255" s="2961">
        <v>1253</v>
      </c>
      <c r="B1255" s="2961" t="s">
        <v>4313</v>
      </c>
      <c r="D1255" s="2961" t="s">
        <v>4432</v>
      </c>
      <c r="E1255" s="2961" t="s">
        <v>4433</v>
      </c>
      <c r="F1255" s="2961">
        <v>152.37</v>
      </c>
    </row>
    <row r="1256" spans="1:6">
      <c r="A1256" s="2961">
        <v>1254</v>
      </c>
      <c r="B1256" s="2961" t="s">
        <v>4313</v>
      </c>
      <c r="D1256" s="2961" t="s">
        <v>4434</v>
      </c>
      <c r="E1256" s="2961" t="s">
        <v>4435</v>
      </c>
      <c r="F1256" s="2961">
        <v>175.08</v>
      </c>
    </row>
    <row r="1257" spans="1:6">
      <c r="A1257" s="2961">
        <v>1255</v>
      </c>
      <c r="B1257" s="2961" t="s">
        <v>4313</v>
      </c>
      <c r="D1257" s="2961" t="s">
        <v>4436</v>
      </c>
      <c r="E1257" s="2961" t="s">
        <v>4437</v>
      </c>
      <c r="F1257" s="2961">
        <v>215.02</v>
      </c>
    </row>
    <row r="1258" spans="1:6">
      <c r="A1258" s="2961">
        <v>1256</v>
      </c>
      <c r="B1258" s="2961" t="s">
        <v>4313</v>
      </c>
      <c r="D1258" s="2961" t="s">
        <v>4438</v>
      </c>
      <c r="E1258" s="2961" t="s">
        <v>4439</v>
      </c>
      <c r="F1258" s="2961">
        <v>179.94</v>
      </c>
    </row>
    <row r="1259" spans="1:6">
      <c r="A1259" s="2961">
        <v>1257</v>
      </c>
      <c r="B1259" s="2961" t="s">
        <v>4313</v>
      </c>
      <c r="D1259" s="2961" t="s">
        <v>4440</v>
      </c>
      <c r="E1259" s="2961" t="s">
        <v>4441</v>
      </c>
      <c r="F1259" s="2961">
        <v>273.37</v>
      </c>
    </row>
    <row r="1260" spans="1:6">
      <c r="A1260" s="2961">
        <v>1258</v>
      </c>
      <c r="B1260" s="2961" t="s">
        <v>4313</v>
      </c>
      <c r="D1260" s="2961" t="s">
        <v>4442</v>
      </c>
      <c r="E1260" s="2961" t="s">
        <v>4443</v>
      </c>
      <c r="F1260" s="2961">
        <v>146.05000000000001</v>
      </c>
    </row>
    <row r="1261" spans="1:6">
      <c r="A1261" s="2961">
        <v>1259</v>
      </c>
      <c r="B1261" s="2961" t="s">
        <v>4313</v>
      </c>
      <c r="D1261" s="2961" t="s">
        <v>4444</v>
      </c>
      <c r="E1261" s="2961" t="s">
        <v>4445</v>
      </c>
      <c r="F1261" s="2961">
        <v>172.99</v>
      </c>
    </row>
    <row r="1262" spans="1:6">
      <c r="A1262" s="2961">
        <v>1260</v>
      </c>
      <c r="B1262" s="2961" t="s">
        <v>4313</v>
      </c>
      <c r="D1262" s="2961" t="s">
        <v>4446</v>
      </c>
      <c r="E1262" s="2961" t="s">
        <v>4447</v>
      </c>
      <c r="F1262" s="2961">
        <v>231.48</v>
      </c>
    </row>
    <row r="1263" spans="1:6">
      <c r="A1263" s="2961">
        <v>1261</v>
      </c>
      <c r="B1263" s="2961" t="s">
        <v>4313</v>
      </c>
      <c r="D1263" s="2961" t="s">
        <v>4448</v>
      </c>
      <c r="E1263" s="2961" t="s">
        <v>4449</v>
      </c>
      <c r="F1263" s="2961">
        <v>152.37</v>
      </c>
    </row>
    <row r="1264" spans="1:6">
      <c r="A1264" s="2961">
        <v>1262</v>
      </c>
      <c r="B1264" s="2961" t="s">
        <v>4313</v>
      </c>
      <c r="D1264" s="2961" t="s">
        <v>4450</v>
      </c>
      <c r="E1264" s="2961" t="s">
        <v>4451</v>
      </c>
      <c r="F1264" s="2961">
        <v>175.08</v>
      </c>
    </row>
    <row r="1265" spans="1:6">
      <c r="A1265" s="2961">
        <v>1263</v>
      </c>
      <c r="B1265" s="2961" t="s">
        <v>4313</v>
      </c>
      <c r="D1265" s="2961" t="s">
        <v>4452</v>
      </c>
      <c r="E1265" s="2961" t="s">
        <v>4453</v>
      </c>
      <c r="F1265" s="2961">
        <v>215.02</v>
      </c>
    </row>
    <row r="1266" spans="1:6">
      <c r="A1266" s="2961">
        <v>1264</v>
      </c>
      <c r="B1266" s="2961" t="s">
        <v>4313</v>
      </c>
      <c r="D1266" s="2961" t="s">
        <v>4454</v>
      </c>
      <c r="E1266" s="2961" t="s">
        <v>4455</v>
      </c>
      <c r="F1266" s="2961">
        <v>179.94</v>
      </c>
    </row>
    <row r="1267" spans="1:6">
      <c r="A1267" s="2961">
        <v>1265</v>
      </c>
      <c r="B1267" s="2961" t="s">
        <v>4313</v>
      </c>
      <c r="D1267" s="2961" t="s">
        <v>4456</v>
      </c>
      <c r="E1267" s="2961" t="s">
        <v>4457</v>
      </c>
      <c r="F1267" s="2961">
        <v>273.37</v>
      </c>
    </row>
    <row r="1268" spans="1:6">
      <c r="A1268" s="2961">
        <v>1266</v>
      </c>
      <c r="B1268" s="2961" t="s">
        <v>4313</v>
      </c>
      <c r="D1268" s="2961" t="s">
        <v>4458</v>
      </c>
      <c r="E1268" s="2961" t="s">
        <v>4459</v>
      </c>
      <c r="F1268" s="2961">
        <v>146.05000000000001</v>
      </c>
    </row>
    <row r="1269" spans="1:6">
      <c r="A1269" s="2961">
        <v>1267</v>
      </c>
      <c r="B1269" s="2961" t="s">
        <v>4313</v>
      </c>
      <c r="D1269" s="2961" t="s">
        <v>4460</v>
      </c>
      <c r="E1269" s="2961" t="s">
        <v>4461</v>
      </c>
      <c r="F1269" s="2961">
        <v>172.99</v>
      </c>
    </row>
    <row r="1270" spans="1:6">
      <c r="A1270" s="2961">
        <v>1268</v>
      </c>
      <c r="B1270" s="2961" t="s">
        <v>4313</v>
      </c>
      <c r="D1270" s="2961" t="s">
        <v>4462</v>
      </c>
      <c r="E1270" s="2961" t="s">
        <v>4463</v>
      </c>
      <c r="F1270" s="2961">
        <v>231.48</v>
      </c>
    </row>
    <row r="1271" spans="1:6">
      <c r="A1271" s="2961">
        <v>1269</v>
      </c>
      <c r="B1271" s="2961" t="s">
        <v>4313</v>
      </c>
      <c r="D1271" s="2961" t="s">
        <v>4464</v>
      </c>
      <c r="E1271" s="2961" t="s">
        <v>4465</v>
      </c>
      <c r="F1271" s="2961">
        <v>152.37</v>
      </c>
    </row>
    <row r="1272" spans="1:6">
      <c r="A1272" s="2961">
        <v>1270</v>
      </c>
      <c r="B1272" s="2961" t="s">
        <v>4313</v>
      </c>
      <c r="D1272" s="2961" t="s">
        <v>4466</v>
      </c>
      <c r="E1272" s="2961" t="s">
        <v>4467</v>
      </c>
      <c r="F1272" s="2961">
        <v>175.08</v>
      </c>
    </row>
    <row r="1273" spans="1:6">
      <c r="A1273" s="2961">
        <v>1271</v>
      </c>
      <c r="B1273" s="2961" t="s">
        <v>4313</v>
      </c>
      <c r="D1273" s="2961" t="s">
        <v>4468</v>
      </c>
      <c r="E1273" s="2961" t="s">
        <v>4469</v>
      </c>
      <c r="F1273" s="2961">
        <v>215.02</v>
      </c>
    </row>
    <row r="1274" spans="1:6">
      <c r="A1274" s="2961">
        <v>1272</v>
      </c>
      <c r="B1274" s="2961" t="s">
        <v>4313</v>
      </c>
      <c r="D1274" s="2961" t="s">
        <v>4470</v>
      </c>
      <c r="E1274" s="2961" t="s">
        <v>4471</v>
      </c>
      <c r="F1274" s="2961">
        <v>179.94</v>
      </c>
    </row>
    <row r="1275" spans="1:6">
      <c r="A1275" s="2961">
        <v>1273</v>
      </c>
      <c r="B1275" s="2961" t="s">
        <v>4313</v>
      </c>
      <c r="D1275" s="2961" t="s">
        <v>4472</v>
      </c>
      <c r="E1275" s="2961" t="s">
        <v>4473</v>
      </c>
      <c r="F1275" s="2961">
        <v>273.37</v>
      </c>
    </row>
    <row r="1276" spans="1:6">
      <c r="A1276" s="2961">
        <v>1274</v>
      </c>
      <c r="B1276" s="2961" t="s">
        <v>4313</v>
      </c>
      <c r="D1276" s="2961" t="s">
        <v>4474</v>
      </c>
      <c r="E1276" s="2961" t="s">
        <v>4475</v>
      </c>
      <c r="F1276" s="2961">
        <v>146.05000000000001</v>
      </c>
    </row>
    <row r="1277" spans="1:6">
      <c r="A1277" s="2961">
        <v>1275</v>
      </c>
      <c r="B1277" s="2961" t="s">
        <v>4313</v>
      </c>
      <c r="D1277" s="2961" t="s">
        <v>4476</v>
      </c>
      <c r="E1277" s="2961" t="s">
        <v>4477</v>
      </c>
      <c r="F1277" s="2961">
        <v>172.99</v>
      </c>
    </row>
    <row r="1278" spans="1:6">
      <c r="A1278" s="2961">
        <v>1276</v>
      </c>
      <c r="B1278" s="2961" t="s">
        <v>4313</v>
      </c>
      <c r="D1278" s="2961" t="s">
        <v>4478</v>
      </c>
      <c r="E1278" s="2961" t="s">
        <v>4479</v>
      </c>
      <c r="F1278" s="2961">
        <v>231.48</v>
      </c>
    </row>
    <row r="1279" spans="1:6">
      <c r="A1279" s="2961">
        <v>1277</v>
      </c>
      <c r="B1279" s="2961" t="s">
        <v>4313</v>
      </c>
      <c r="D1279" s="2961" t="s">
        <v>4480</v>
      </c>
      <c r="E1279" s="2961" t="s">
        <v>4481</v>
      </c>
      <c r="F1279" s="2961">
        <v>152.37</v>
      </c>
    </row>
    <row r="1280" spans="1:6">
      <c r="A1280" s="2961">
        <v>1278</v>
      </c>
      <c r="B1280" s="2961" t="s">
        <v>4313</v>
      </c>
      <c r="D1280" s="2961" t="s">
        <v>4482</v>
      </c>
      <c r="E1280" s="2961" t="s">
        <v>4483</v>
      </c>
      <c r="F1280" s="2961">
        <v>175.08</v>
      </c>
    </row>
    <row r="1281" spans="1:6">
      <c r="A1281" s="2961">
        <v>1279</v>
      </c>
      <c r="B1281" s="2961" t="s">
        <v>4313</v>
      </c>
      <c r="D1281" s="2961" t="s">
        <v>4484</v>
      </c>
      <c r="E1281" s="2961" t="s">
        <v>4485</v>
      </c>
      <c r="F1281" s="2961">
        <v>215.02</v>
      </c>
    </row>
    <row r="1282" spans="1:6">
      <c r="A1282" s="2961">
        <v>1280</v>
      </c>
      <c r="B1282" s="2961" t="s">
        <v>4313</v>
      </c>
      <c r="D1282" s="2961" t="s">
        <v>4486</v>
      </c>
      <c r="E1282" s="2961" t="s">
        <v>4487</v>
      </c>
      <c r="F1282" s="2961">
        <v>179.94</v>
      </c>
    </row>
    <row r="1283" spans="1:6">
      <c r="A1283" s="2961">
        <v>1281</v>
      </c>
      <c r="B1283" s="2961" t="s">
        <v>4313</v>
      </c>
      <c r="D1283" s="2961" t="s">
        <v>4488</v>
      </c>
      <c r="E1283" s="2961" t="s">
        <v>4489</v>
      </c>
      <c r="F1283" s="2961">
        <v>273.37</v>
      </c>
    </row>
    <row r="1284" spans="1:6">
      <c r="A1284" s="2961">
        <v>1282</v>
      </c>
      <c r="B1284" s="2961" t="s">
        <v>4313</v>
      </c>
      <c r="D1284" s="2961" t="s">
        <v>4490</v>
      </c>
      <c r="E1284" s="2961" t="s">
        <v>4491</v>
      </c>
      <c r="F1284" s="2961">
        <v>146.05000000000001</v>
      </c>
    </row>
    <row r="1285" spans="1:6">
      <c r="A1285" s="2961">
        <v>1283</v>
      </c>
      <c r="B1285" s="2961" t="s">
        <v>4313</v>
      </c>
      <c r="D1285" s="2961" t="s">
        <v>4492</v>
      </c>
      <c r="E1285" s="2961" t="s">
        <v>4493</v>
      </c>
      <c r="F1285" s="2961">
        <v>172.99</v>
      </c>
    </row>
    <row r="1286" spans="1:6">
      <c r="A1286" s="2961">
        <v>1284</v>
      </c>
      <c r="B1286" s="2961" t="s">
        <v>4313</v>
      </c>
      <c r="D1286" s="2961" t="s">
        <v>4494</v>
      </c>
      <c r="E1286" s="2961" t="s">
        <v>4495</v>
      </c>
      <c r="F1286" s="2961">
        <v>231.48</v>
      </c>
    </row>
    <row r="1287" spans="1:6">
      <c r="A1287" s="2961">
        <v>1285</v>
      </c>
      <c r="B1287" s="2961" t="s">
        <v>4313</v>
      </c>
      <c r="D1287" s="2961" t="s">
        <v>4496</v>
      </c>
      <c r="E1287" s="2961" t="s">
        <v>4497</v>
      </c>
      <c r="F1287" s="2961">
        <v>152.37</v>
      </c>
    </row>
    <row r="1288" spans="1:6">
      <c r="A1288" s="2961">
        <v>1286</v>
      </c>
      <c r="B1288" s="2961" t="s">
        <v>4313</v>
      </c>
      <c r="D1288" s="2961" t="s">
        <v>4498</v>
      </c>
      <c r="E1288" s="2961" t="s">
        <v>4499</v>
      </c>
      <c r="F1288" s="2961">
        <v>175.08</v>
      </c>
    </row>
    <row r="1289" spans="1:6">
      <c r="A1289" s="2961">
        <v>1287</v>
      </c>
      <c r="B1289" s="2961" t="s">
        <v>4313</v>
      </c>
      <c r="D1289" s="2961" t="s">
        <v>4500</v>
      </c>
      <c r="E1289" s="2961" t="s">
        <v>4501</v>
      </c>
      <c r="F1289" s="2961">
        <v>215.02</v>
      </c>
    </row>
    <row r="1290" spans="1:6">
      <c r="A1290" s="2961">
        <v>1288</v>
      </c>
      <c r="B1290" s="2961" t="s">
        <v>4313</v>
      </c>
      <c r="D1290" s="2961" t="s">
        <v>4502</v>
      </c>
      <c r="E1290" s="2961" t="s">
        <v>4503</v>
      </c>
      <c r="F1290" s="2961">
        <v>179.94</v>
      </c>
    </row>
    <row r="1291" spans="1:6">
      <c r="A1291" s="2961">
        <v>1289</v>
      </c>
      <c r="B1291" s="2961" t="s">
        <v>4313</v>
      </c>
      <c r="D1291" s="2961" t="s">
        <v>4504</v>
      </c>
      <c r="E1291" s="2961" t="s">
        <v>4505</v>
      </c>
      <c r="F1291" s="2961">
        <v>273.37</v>
      </c>
    </row>
    <row r="1292" spans="1:6">
      <c r="A1292" s="2961">
        <v>1290</v>
      </c>
      <c r="B1292" s="2961" t="s">
        <v>4313</v>
      </c>
      <c r="D1292" s="2961" t="s">
        <v>4506</v>
      </c>
      <c r="E1292" s="2961" t="s">
        <v>4507</v>
      </c>
      <c r="F1292" s="2961">
        <v>146.05000000000001</v>
      </c>
    </row>
    <row r="1293" spans="1:6">
      <c r="A1293" s="2961">
        <v>1291</v>
      </c>
      <c r="B1293" s="2961" t="s">
        <v>4313</v>
      </c>
      <c r="D1293" s="2961" t="s">
        <v>4508</v>
      </c>
      <c r="E1293" s="2961" t="s">
        <v>4509</v>
      </c>
      <c r="F1293" s="2961">
        <v>172.99</v>
      </c>
    </row>
    <row r="1294" spans="1:6">
      <c r="A1294" s="2961">
        <v>1292</v>
      </c>
      <c r="B1294" s="2961" t="s">
        <v>4313</v>
      </c>
      <c r="D1294" s="2961" t="s">
        <v>4510</v>
      </c>
      <c r="E1294" s="2961" t="s">
        <v>4511</v>
      </c>
      <c r="F1294" s="2961">
        <v>231.48</v>
      </c>
    </row>
    <row r="1295" spans="1:6">
      <c r="A1295" s="2961">
        <v>1293</v>
      </c>
      <c r="B1295" s="2961" t="s">
        <v>4313</v>
      </c>
      <c r="D1295" s="2961" t="s">
        <v>4512</v>
      </c>
      <c r="E1295" s="2961" t="s">
        <v>4513</v>
      </c>
      <c r="F1295" s="2961">
        <v>152.37</v>
      </c>
    </row>
    <row r="1296" spans="1:6">
      <c r="A1296" s="2961">
        <v>1294</v>
      </c>
      <c r="B1296" s="2961" t="s">
        <v>4313</v>
      </c>
      <c r="D1296" s="2961" t="s">
        <v>4514</v>
      </c>
      <c r="E1296" s="2961" t="s">
        <v>4515</v>
      </c>
      <c r="F1296" s="2961">
        <v>175.08</v>
      </c>
    </row>
    <row r="1297" spans="1:6">
      <c r="A1297" s="2961">
        <v>1295</v>
      </c>
      <c r="B1297" s="2961" t="s">
        <v>4313</v>
      </c>
      <c r="D1297" s="2961" t="s">
        <v>4516</v>
      </c>
      <c r="E1297" s="2961" t="s">
        <v>4517</v>
      </c>
      <c r="F1297" s="2961">
        <v>215.02</v>
      </c>
    </row>
    <row r="1298" spans="1:6">
      <c r="A1298" s="2961">
        <v>1296</v>
      </c>
      <c r="B1298" s="2961" t="s">
        <v>4313</v>
      </c>
      <c r="D1298" s="2961" t="s">
        <v>4518</v>
      </c>
      <c r="E1298" s="2961" t="s">
        <v>4519</v>
      </c>
      <c r="F1298" s="2961">
        <v>179.94</v>
      </c>
    </row>
    <row r="1299" spans="1:6">
      <c r="A1299" s="2961">
        <v>1297</v>
      </c>
      <c r="B1299" s="2961" t="s">
        <v>4313</v>
      </c>
      <c r="D1299" s="2961" t="s">
        <v>4520</v>
      </c>
      <c r="E1299" s="2961" t="s">
        <v>4521</v>
      </c>
      <c r="F1299" s="2961">
        <v>273.37</v>
      </c>
    </row>
    <row r="1300" spans="1:6">
      <c r="A1300" s="2961">
        <v>1298</v>
      </c>
      <c r="B1300" s="2961" t="s">
        <v>4313</v>
      </c>
      <c r="D1300" s="2961" t="s">
        <v>4522</v>
      </c>
      <c r="E1300" s="2961" t="s">
        <v>4523</v>
      </c>
      <c r="F1300" s="2961">
        <v>146.05000000000001</v>
      </c>
    </row>
    <row r="1301" spans="1:6">
      <c r="A1301" s="2961">
        <v>1299</v>
      </c>
      <c r="B1301" s="2961" t="s">
        <v>4313</v>
      </c>
      <c r="D1301" s="2961" t="s">
        <v>4524</v>
      </c>
      <c r="E1301" s="2961" t="s">
        <v>4525</v>
      </c>
      <c r="F1301" s="2961">
        <v>172.99</v>
      </c>
    </row>
    <row r="1302" spans="1:6">
      <c r="A1302" s="2961">
        <v>1300</v>
      </c>
      <c r="B1302" s="2961" t="s">
        <v>4313</v>
      </c>
      <c r="D1302" s="2961" t="s">
        <v>4526</v>
      </c>
      <c r="E1302" s="2961" t="s">
        <v>4527</v>
      </c>
      <c r="F1302" s="2961">
        <v>231.48</v>
      </c>
    </row>
    <row r="1303" spans="1:6">
      <c r="A1303" s="2961">
        <v>1301</v>
      </c>
      <c r="B1303" s="2961" t="s">
        <v>4313</v>
      </c>
      <c r="D1303" s="2961" t="s">
        <v>4528</v>
      </c>
      <c r="E1303" s="2961" t="s">
        <v>4529</v>
      </c>
      <c r="F1303" s="2961">
        <v>152.37</v>
      </c>
    </row>
    <row r="1304" spans="1:6">
      <c r="A1304" s="2961">
        <v>1302</v>
      </c>
      <c r="B1304" s="2961" t="s">
        <v>4313</v>
      </c>
      <c r="D1304" s="2961" t="s">
        <v>4530</v>
      </c>
      <c r="E1304" s="2961" t="s">
        <v>4531</v>
      </c>
      <c r="F1304" s="2961">
        <v>175.08</v>
      </c>
    </row>
    <row r="1305" spans="1:6">
      <c r="A1305" s="2961">
        <v>1303</v>
      </c>
      <c r="B1305" s="2961" t="s">
        <v>4313</v>
      </c>
      <c r="D1305" s="2961" t="s">
        <v>4532</v>
      </c>
      <c r="E1305" s="2961" t="s">
        <v>4533</v>
      </c>
      <c r="F1305" s="2961">
        <v>215.02</v>
      </c>
    </row>
    <row r="1306" spans="1:6">
      <c r="A1306" s="2961">
        <v>1304</v>
      </c>
      <c r="B1306" s="2961" t="s">
        <v>4313</v>
      </c>
      <c r="D1306" s="2961" t="s">
        <v>4534</v>
      </c>
      <c r="E1306" s="2961" t="s">
        <v>4535</v>
      </c>
      <c r="F1306" s="2961">
        <v>179.94</v>
      </c>
    </row>
    <row r="1307" spans="1:6">
      <c r="A1307" s="2961">
        <v>1305</v>
      </c>
      <c r="B1307" s="2961" t="s">
        <v>4313</v>
      </c>
      <c r="D1307" s="2961" t="s">
        <v>4536</v>
      </c>
      <c r="E1307" s="2961" t="s">
        <v>4537</v>
      </c>
      <c r="F1307" s="2961">
        <v>273.37</v>
      </c>
    </row>
    <row r="1308" spans="1:6">
      <c r="A1308" s="2961">
        <v>1306</v>
      </c>
      <c r="B1308" s="2961" t="s">
        <v>4313</v>
      </c>
      <c r="D1308" s="2961" t="s">
        <v>4538</v>
      </c>
      <c r="E1308" s="2961" t="s">
        <v>4539</v>
      </c>
      <c r="F1308" s="2961">
        <v>172.99</v>
      </c>
    </row>
    <row r="1309" spans="1:6">
      <c r="A1309" s="2961">
        <v>1307</v>
      </c>
      <c r="B1309" s="2961" t="s">
        <v>4313</v>
      </c>
      <c r="D1309" s="2961" t="s">
        <v>4540</v>
      </c>
      <c r="E1309" s="2961" t="s">
        <v>4541</v>
      </c>
      <c r="F1309" s="2961">
        <v>231.48</v>
      </c>
    </row>
    <row r="1310" spans="1:6">
      <c r="A1310" s="2961">
        <v>1308</v>
      </c>
      <c r="B1310" s="2961" t="s">
        <v>4313</v>
      </c>
      <c r="D1310" s="2961" t="s">
        <v>4542</v>
      </c>
      <c r="E1310" s="2961" t="s">
        <v>4543</v>
      </c>
      <c r="F1310" s="2961">
        <v>152.37</v>
      </c>
    </row>
    <row r="1311" spans="1:6">
      <c r="A1311" s="2961">
        <v>1309</v>
      </c>
      <c r="B1311" s="2961" t="s">
        <v>4313</v>
      </c>
      <c r="D1311" s="2961" t="s">
        <v>4544</v>
      </c>
      <c r="E1311" s="2961" t="s">
        <v>4545</v>
      </c>
      <c r="F1311" s="2961">
        <v>175.08</v>
      </c>
    </row>
    <row r="1312" spans="1:6">
      <c r="A1312" s="2961">
        <v>1310</v>
      </c>
      <c r="B1312" s="2961" t="s">
        <v>4313</v>
      </c>
      <c r="D1312" s="2961" t="s">
        <v>4546</v>
      </c>
      <c r="E1312" s="2961" t="s">
        <v>4547</v>
      </c>
      <c r="F1312" s="2961">
        <v>215.02</v>
      </c>
    </row>
    <row r="1313" spans="1:6">
      <c r="A1313" s="2961">
        <v>1311</v>
      </c>
      <c r="B1313" s="2961" t="s">
        <v>4313</v>
      </c>
      <c r="D1313" s="2961" t="s">
        <v>4548</v>
      </c>
      <c r="E1313" s="2961" t="s">
        <v>4549</v>
      </c>
      <c r="F1313" s="2961">
        <v>179.94</v>
      </c>
    </row>
    <row r="1314" spans="1:6">
      <c r="A1314" s="2961">
        <v>1312</v>
      </c>
      <c r="B1314" s="2961" t="s">
        <v>4313</v>
      </c>
      <c r="D1314" s="2961" t="s">
        <v>4550</v>
      </c>
      <c r="E1314" s="2961" t="s">
        <v>4551</v>
      </c>
      <c r="F1314" s="2961">
        <v>273.37</v>
      </c>
    </row>
    <row r="1315" spans="1:6">
      <c r="A1315" s="2961">
        <v>1313</v>
      </c>
      <c r="B1315" s="2961" t="s">
        <v>4552</v>
      </c>
      <c r="D1315" s="2961">
        <v>105</v>
      </c>
      <c r="E1315" s="2961" t="s">
        <v>4553</v>
      </c>
      <c r="F1315" s="2961">
        <v>52.75</v>
      </c>
    </row>
    <row r="1316" spans="1:6">
      <c r="A1316" s="2961">
        <v>1314</v>
      </c>
      <c r="B1316" s="2961" t="s">
        <v>3080</v>
      </c>
      <c r="D1316" s="2961">
        <v>108</v>
      </c>
      <c r="E1316" s="2961" t="s">
        <v>4554</v>
      </c>
      <c r="F1316" s="2961">
        <v>51.43</v>
      </c>
    </row>
    <row r="1317" spans="1:6">
      <c r="A1317" s="2961">
        <v>1315</v>
      </c>
      <c r="B1317" s="2961" t="s">
        <v>3080</v>
      </c>
      <c r="D1317" s="2961">
        <v>110</v>
      </c>
      <c r="E1317" s="2961" t="s">
        <v>4555</v>
      </c>
      <c r="F1317" s="2961">
        <v>16.66</v>
      </c>
    </row>
    <row r="1318" spans="1:6">
      <c r="A1318" s="2961">
        <v>1316</v>
      </c>
      <c r="B1318" s="2961" t="s">
        <v>3080</v>
      </c>
      <c r="D1318" s="2961">
        <v>115</v>
      </c>
      <c r="E1318" s="2961" t="s">
        <v>4556</v>
      </c>
      <c r="F1318" s="2961">
        <v>24.23</v>
      </c>
    </row>
    <row r="1319" spans="1:6">
      <c r="A1319" s="2961">
        <v>1317</v>
      </c>
      <c r="B1319" s="2961" t="s">
        <v>3080</v>
      </c>
      <c r="D1319" s="2961">
        <v>122</v>
      </c>
      <c r="E1319" s="2961" t="s">
        <v>4557</v>
      </c>
      <c r="F1319" s="2961">
        <v>49.28</v>
      </c>
    </row>
    <row r="1320" spans="1:6">
      <c r="A1320" s="2961">
        <v>1318</v>
      </c>
      <c r="B1320" s="2961" t="s">
        <v>3080</v>
      </c>
      <c r="D1320" s="2961">
        <v>123</v>
      </c>
      <c r="E1320" s="2961" t="s">
        <v>4558</v>
      </c>
      <c r="F1320" s="2961">
        <v>52.21</v>
      </c>
    </row>
    <row r="1321" spans="1:6">
      <c r="A1321" s="2961">
        <v>1319</v>
      </c>
      <c r="B1321" s="2961" t="s">
        <v>3080</v>
      </c>
      <c r="D1321" s="2961">
        <v>124</v>
      </c>
      <c r="E1321" s="2961" t="s">
        <v>4559</v>
      </c>
      <c r="F1321" s="2961">
        <v>59.53</v>
      </c>
    </row>
    <row r="1322" spans="1:6">
      <c r="A1322" s="2961">
        <v>1320</v>
      </c>
      <c r="B1322" s="2961" t="s">
        <v>4560</v>
      </c>
      <c r="D1322" s="2961">
        <v>108</v>
      </c>
      <c r="E1322" s="2961" t="s">
        <v>4561</v>
      </c>
      <c r="F1322" s="2961">
        <v>152.24</v>
      </c>
    </row>
    <row r="1323" spans="1:6">
      <c r="A1323" s="2961">
        <v>1321</v>
      </c>
      <c r="B1323" s="2961" t="s">
        <v>4560</v>
      </c>
      <c r="D1323" s="2961">
        <v>110</v>
      </c>
      <c r="E1323" s="2961" t="s">
        <v>4562</v>
      </c>
      <c r="F1323" s="2961">
        <v>199.25</v>
      </c>
    </row>
    <row r="1324" spans="1:6">
      <c r="A1324" s="2961">
        <v>1322</v>
      </c>
      <c r="B1324" s="2961" t="s">
        <v>4563</v>
      </c>
      <c r="D1324" s="2961">
        <v>103</v>
      </c>
      <c r="E1324" s="2961" t="s">
        <v>4564</v>
      </c>
      <c r="F1324" s="2961">
        <v>209.49</v>
      </c>
    </row>
    <row r="1325" spans="1:6">
      <c r="A1325" s="2961">
        <v>1323</v>
      </c>
      <c r="B1325" s="2961" t="s">
        <v>4565</v>
      </c>
      <c r="D1325" s="2961">
        <v>101</v>
      </c>
      <c r="E1325" s="2961" t="s">
        <v>4566</v>
      </c>
      <c r="F1325" s="2961">
        <v>145.21</v>
      </c>
    </row>
    <row r="1326" spans="1:6">
      <c r="A1326" s="2961">
        <v>1324</v>
      </c>
      <c r="B1326" s="2961" t="s">
        <v>4565</v>
      </c>
      <c r="D1326" s="2961">
        <v>108</v>
      </c>
      <c r="E1326" s="2961" t="s">
        <v>4567</v>
      </c>
      <c r="F1326" s="2961">
        <v>201.61</v>
      </c>
    </row>
    <row r="1327" spans="1:6">
      <c r="A1327" s="2961">
        <v>1325</v>
      </c>
      <c r="B1327" s="2961" t="s">
        <v>4568</v>
      </c>
      <c r="D1327" s="2961">
        <v>105</v>
      </c>
      <c r="E1327" s="2961" t="s">
        <v>4569</v>
      </c>
      <c r="F1327" s="2961">
        <v>76.59</v>
      </c>
    </row>
    <row r="1328" spans="1:6">
      <c r="A1328" s="2961">
        <v>1326</v>
      </c>
      <c r="B1328" s="2961" t="s">
        <v>4568</v>
      </c>
      <c r="D1328" s="2961">
        <v>106</v>
      </c>
      <c r="E1328" s="2961" t="s">
        <v>4570</v>
      </c>
      <c r="F1328" s="2961">
        <v>95.98</v>
      </c>
    </row>
    <row r="1329" spans="1:6">
      <c r="A1329" s="2961">
        <v>1327</v>
      </c>
      <c r="B1329" s="2961" t="s">
        <v>4568</v>
      </c>
      <c r="D1329" s="2961">
        <v>110</v>
      </c>
      <c r="E1329" s="2961" t="s">
        <v>4571</v>
      </c>
      <c r="F1329" s="2961">
        <v>81.599999999999994</v>
      </c>
    </row>
    <row r="1330" spans="1:6">
      <c r="A1330" s="2961">
        <v>1328</v>
      </c>
      <c r="B1330" s="2961" t="s">
        <v>4568</v>
      </c>
      <c r="D1330" s="2961">
        <v>111</v>
      </c>
      <c r="E1330" s="2961" t="s">
        <v>4572</v>
      </c>
      <c r="F1330" s="2961">
        <v>81.599999999999994</v>
      </c>
    </row>
    <row r="1331" spans="1:6">
      <c r="A1331" s="2961">
        <v>1329</v>
      </c>
      <c r="B1331" s="2961" t="s">
        <v>4568</v>
      </c>
      <c r="D1331" s="2961">
        <v>113</v>
      </c>
      <c r="E1331" s="2961" t="s">
        <v>4573</v>
      </c>
      <c r="F1331" s="2961">
        <v>43.13</v>
      </c>
    </row>
    <row r="1332" spans="1:6">
      <c r="A1332" s="2961">
        <v>1330</v>
      </c>
      <c r="B1332" s="2961" t="s">
        <v>4568</v>
      </c>
      <c r="D1332" s="2961">
        <v>115</v>
      </c>
      <c r="E1332" s="2961" t="s">
        <v>4574</v>
      </c>
      <c r="F1332" s="2961">
        <v>69.28</v>
      </c>
    </row>
    <row r="1333" spans="1:6">
      <c r="A1333" s="2961">
        <v>1331</v>
      </c>
      <c r="B1333" s="2961" t="s">
        <v>4568</v>
      </c>
      <c r="D1333" s="2961">
        <v>118</v>
      </c>
      <c r="E1333" s="2961" t="s">
        <v>4575</v>
      </c>
      <c r="F1333" s="2961">
        <v>52.97</v>
      </c>
    </row>
    <row r="1334" spans="1:6">
      <c r="A1334" s="2961">
        <v>1332</v>
      </c>
      <c r="B1334" s="2961" t="s">
        <v>4568</v>
      </c>
      <c r="D1334" s="2961">
        <v>120</v>
      </c>
      <c r="E1334" s="2961" t="s">
        <v>4576</v>
      </c>
      <c r="F1334" s="2961">
        <v>134.77000000000001</v>
      </c>
    </row>
    <row r="1335" spans="1:6">
      <c r="A1335" s="2961">
        <v>1333</v>
      </c>
      <c r="B1335" s="2961" t="s">
        <v>4577</v>
      </c>
      <c r="D1335" s="2961">
        <v>101</v>
      </c>
      <c r="E1335" s="2961" t="s">
        <v>4578</v>
      </c>
      <c r="F1335" s="2961">
        <v>159.97999999999999</v>
      </c>
    </row>
    <row r="1336" spans="1:6">
      <c r="A1336" s="2961">
        <v>1334</v>
      </c>
      <c r="B1336" s="2961" t="s">
        <v>4577</v>
      </c>
      <c r="D1336" s="2961">
        <v>102</v>
      </c>
      <c r="E1336" s="2961" t="s">
        <v>4579</v>
      </c>
      <c r="F1336" s="2961">
        <v>97.72</v>
      </c>
    </row>
    <row r="1337" spans="1:6">
      <c r="A1337" s="2961">
        <v>1335</v>
      </c>
      <c r="B1337" s="2961" t="s">
        <v>4577</v>
      </c>
      <c r="D1337" s="2961">
        <v>103</v>
      </c>
      <c r="E1337" s="2961" t="s">
        <v>4580</v>
      </c>
      <c r="F1337" s="2961">
        <v>27.08</v>
      </c>
    </row>
    <row r="1338" spans="1:6">
      <c r="A1338" s="2961">
        <v>1336</v>
      </c>
      <c r="B1338" s="2961" t="s">
        <v>4577</v>
      </c>
      <c r="D1338" s="2961">
        <v>104</v>
      </c>
      <c r="E1338" s="2961" t="s">
        <v>4581</v>
      </c>
      <c r="F1338" s="2961">
        <v>110.28</v>
      </c>
    </row>
    <row r="1339" spans="1:6">
      <c r="A1339" s="2961">
        <v>1337</v>
      </c>
      <c r="B1339" s="2961" t="s">
        <v>4577</v>
      </c>
      <c r="D1339" s="2961">
        <v>105</v>
      </c>
      <c r="E1339" s="2961" t="s">
        <v>4582</v>
      </c>
      <c r="F1339" s="2961">
        <v>119.07</v>
      </c>
    </row>
    <row r="1340" spans="1:6">
      <c r="A1340" s="2961">
        <v>1338</v>
      </c>
      <c r="B1340" s="2961" t="s">
        <v>4577</v>
      </c>
      <c r="D1340" s="2961">
        <v>106</v>
      </c>
      <c r="E1340" s="2961" t="s">
        <v>4583</v>
      </c>
      <c r="F1340" s="2961">
        <v>119.07</v>
      </c>
    </row>
    <row r="1341" spans="1:6">
      <c r="A1341" s="2961">
        <v>1339</v>
      </c>
      <c r="B1341" s="2961" t="s">
        <v>4577</v>
      </c>
      <c r="D1341" s="2961">
        <v>107</v>
      </c>
      <c r="E1341" s="2961" t="s">
        <v>4584</v>
      </c>
      <c r="F1341" s="2961">
        <v>120.9</v>
      </c>
    </row>
    <row r="1342" spans="1:6">
      <c r="A1342" s="2961">
        <v>1340</v>
      </c>
      <c r="B1342" s="2961" t="s">
        <v>4577</v>
      </c>
      <c r="D1342" s="2961">
        <v>108</v>
      </c>
      <c r="E1342" s="2961" t="s">
        <v>4585</v>
      </c>
      <c r="F1342" s="2961">
        <v>27.08</v>
      </c>
    </row>
    <row r="1343" spans="1:6">
      <c r="A1343" s="2961">
        <v>1341</v>
      </c>
      <c r="B1343" s="2961" t="s">
        <v>4586</v>
      </c>
      <c r="F1343" s="2961">
        <v>5366.11</v>
      </c>
    </row>
    <row r="1344" spans="1:6">
      <c r="A1344" s="2961" t="s">
        <v>4587</v>
      </c>
      <c r="F1344" s="2961">
        <f>SUM(F3:F1343)</f>
        <v>127439.5900000012</v>
      </c>
    </row>
    <row r="1345" spans="14:16">
      <c r="O1345" s="2961">
        <f>SUBTOTAL(9,O16:O1344)</f>
        <v>4832.5130000000008</v>
      </c>
    </row>
    <row r="1348" spans="14:16">
      <c r="N1348" s="2961">
        <f>SUM(J16:J22)</f>
        <v>2630.99</v>
      </c>
      <c r="O1348" s="2961">
        <v>4</v>
      </c>
      <c r="P1348" s="2961">
        <f>O1348*N1348</f>
        <v>10523.96</v>
      </c>
    </row>
    <row r="1349" spans="14:16">
      <c r="N1349" s="2961">
        <f>J23</f>
        <v>5366.11</v>
      </c>
      <c r="O1349" s="2961">
        <v>2</v>
      </c>
      <c r="P1349" s="2961">
        <f>O1349*N1349</f>
        <v>10732.22</v>
      </c>
    </row>
    <row r="1350" spans="14:16">
      <c r="N1350" s="2961">
        <f>SUBTOTAL(9,N1348:N1349)</f>
        <v>7997.0999999999995</v>
      </c>
      <c r="O1350" s="2961">
        <f>P1350/N1350</f>
        <v>2.6579860199322258</v>
      </c>
      <c r="P1350" s="2961">
        <f>SUBTOTAL(9,P1348:P1349)</f>
        <v>21256.18</v>
      </c>
    </row>
  </sheetData>
  <autoFilter ref="A2:K1344" xr:uid="{87262FCB-92D8-44AF-B34B-275011D8A27F}"/>
  <mergeCells count="1">
    <mergeCell ref="A1:F1"/>
  </mergeCells>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11" sqref="F11"/>
    </sheetView>
  </sheetViews>
  <sheetFormatPr defaultColWidth="9.1796875" defaultRowHeight="14"/>
  <cols>
    <col min="1" max="1" width="12.08984375" style="2225" customWidth="1"/>
    <col min="2" max="2" width="10.1796875" style="2225" customWidth="1"/>
    <col min="3" max="3" width="18.453125" style="2225" customWidth="1"/>
    <col min="4" max="4" width="11.6328125" style="2225" customWidth="1"/>
    <col min="5" max="5" width="13.36328125" style="2225" customWidth="1"/>
    <col min="6" max="8" width="11.453125" style="2225" customWidth="1"/>
    <col min="9" max="9" width="11.08984375" style="2225" customWidth="1"/>
    <col min="10" max="10" width="3.08984375" style="2225" customWidth="1"/>
    <col min="11" max="16" width="10" style="2225" customWidth="1"/>
    <col min="17" max="17" width="2.6328125" style="2225" customWidth="1"/>
    <col min="18" max="18" width="9.36328125" style="2225" bestFit="1" customWidth="1"/>
    <col min="19" max="19" width="10.453125" style="2225" bestFit="1" customWidth="1"/>
    <col min="20" max="16384" width="9.1796875" style="2225"/>
  </cols>
  <sheetData>
    <row r="1" spans="1:16" ht="18">
      <c r="A1" s="2224" t="s">
        <v>1931</v>
      </c>
      <c r="B1" s="1392"/>
      <c r="C1" s="1392"/>
      <c r="D1" s="1392"/>
      <c r="E1" s="1392"/>
      <c r="F1" s="1392"/>
      <c r="G1" s="1392"/>
      <c r="H1" s="1392"/>
      <c r="I1" s="1392"/>
      <c r="J1" s="1392"/>
      <c r="K1" s="1392"/>
      <c r="L1" s="1392"/>
      <c r="M1" s="1392"/>
      <c r="N1" s="1392"/>
      <c r="O1" s="1392"/>
      <c r="P1" s="1392"/>
    </row>
    <row r="2" spans="1:16">
      <c r="A2" s="3066" t="s">
        <v>1932</v>
      </c>
      <c r="B2" s="3066"/>
      <c r="C2" s="3066"/>
      <c r="D2" s="967" t="s">
        <v>1909</v>
      </c>
      <c r="E2" s="2226" t="s">
        <v>1910</v>
      </c>
      <c r="F2" s="1392"/>
      <c r="G2" s="2227"/>
      <c r="H2" s="2228"/>
      <c r="I2" s="2229" t="s">
        <v>1933</v>
      </c>
      <c r="J2" s="1392"/>
      <c r="K2" s="1392"/>
      <c r="L2" s="1392"/>
      <c r="M2" s="1392"/>
      <c r="N2" s="1427"/>
      <c r="O2" s="1392"/>
      <c r="P2" s="1392"/>
    </row>
    <row r="3" spans="1:16" ht="14.5" thickBot="1">
      <c r="A3" s="3067" t="s">
        <v>1907</v>
      </c>
      <c r="B3" s="3067"/>
      <c r="C3" s="3067"/>
      <c r="D3" s="46">
        <f>'数据-基础表'!AY6</f>
        <v>29206.66</v>
      </c>
      <c r="E3" s="46">
        <f>'数据-基础表'!AZ5</f>
        <v>127439.59000000001</v>
      </c>
      <c r="F3" s="1392"/>
      <c r="G3" s="1399"/>
      <c r="H3" s="1247" t="s">
        <v>1908</v>
      </c>
      <c r="I3" s="55">
        <f>ROUND('数据-基础表'!B3/'数据-基础表'!A3,2)</f>
        <v>4.3600000000000003</v>
      </c>
      <c r="J3" s="1392"/>
      <c r="K3" s="1392"/>
      <c r="L3" s="1392"/>
      <c r="M3" s="1392"/>
      <c r="N3" s="1427"/>
      <c r="O3" s="1392"/>
      <c r="P3" s="1392"/>
    </row>
    <row r="4" spans="1:16">
      <c r="A4" s="3068"/>
      <c r="B4" s="3069"/>
      <c r="C4" s="3070"/>
      <c r="D4" s="2230" t="s">
        <v>1909</v>
      </c>
      <c r="E4" s="2231" t="s">
        <v>1910</v>
      </c>
      <c r="F4" s="1392"/>
      <c r="G4" s="2232" t="s">
        <v>1934</v>
      </c>
      <c r="H4" s="1247" t="s">
        <v>1915</v>
      </c>
      <c r="I4" s="55">
        <f>ROUND(SUMIF('数据-基础表'!I9:AS9,"地上",'数据-基础表'!I5:AS5)/'数据-基础表'!A3,2)</f>
        <v>3.07</v>
      </c>
      <c r="J4" s="1392"/>
      <c r="K4" s="1392"/>
      <c r="L4" s="1392"/>
      <c r="M4" s="1392"/>
      <c r="N4" s="1427"/>
      <c r="O4" s="1392"/>
      <c r="P4" s="1392"/>
    </row>
    <row r="5" spans="1:16">
      <c r="A5" s="47" t="s">
        <v>1911</v>
      </c>
      <c r="B5" s="3071" t="s">
        <v>1912</v>
      </c>
      <c r="C5" s="3071"/>
      <c r="D5" s="48">
        <f>ROUND($D$3*E5/$E$3,2)</f>
        <v>16951.13</v>
      </c>
      <c r="E5" s="49">
        <f>SUMIF('数据-基础表'!$11:$11,"住宅",'数据-基础表'!$5:$5)</f>
        <v>73964.140000000043</v>
      </c>
      <c r="F5" s="1392"/>
      <c r="G5" s="1399"/>
      <c r="H5" s="1247" t="s">
        <v>1908</v>
      </c>
      <c r="I5" s="55">
        <f>ROUND(E31/D31,2)</f>
        <v>4.3600000000000003</v>
      </c>
      <c r="J5" s="1392"/>
      <c r="K5" s="1392"/>
      <c r="L5" s="1392"/>
      <c r="M5" s="1392"/>
      <c r="N5" s="1392"/>
      <c r="O5" s="1392"/>
      <c r="P5" s="1392"/>
    </row>
    <row r="6" spans="1:16" ht="14.5" thickBot="1">
      <c r="A6" s="2233"/>
      <c r="B6" s="3071" t="s">
        <v>1913</v>
      </c>
      <c r="C6" s="3071"/>
      <c r="D6" s="48">
        <f>ROUND($D$3*E6/$E$3,2)</f>
        <v>12255.53</v>
      </c>
      <c r="E6" s="49">
        <f>E3-E5</f>
        <v>53475.449999999968</v>
      </c>
      <c r="F6" s="1392"/>
      <c r="G6" s="2234" t="s">
        <v>1914</v>
      </c>
      <c r="H6" s="1399" t="s">
        <v>1915</v>
      </c>
      <c r="I6" s="939">
        <f>ROUND(F31/D31,2)</f>
        <v>4.3600000000000003</v>
      </c>
      <c r="J6" s="1392"/>
      <c r="K6" s="1392"/>
      <c r="L6" s="1392"/>
      <c r="M6" s="1392"/>
      <c r="N6" s="1392"/>
      <c r="O6" s="1392"/>
      <c r="P6" s="1392"/>
    </row>
    <row r="7" spans="1:16">
      <c r="A7" s="3063"/>
      <c r="B7" s="3064"/>
      <c r="C7" s="3065"/>
      <c r="D7" s="2230" t="s">
        <v>1909</v>
      </c>
      <c r="E7" s="2235" t="s">
        <v>1916</v>
      </c>
      <c r="F7" s="1392"/>
      <c r="G7" s="2227" t="s">
        <v>1917</v>
      </c>
      <c r="H7" s="64"/>
      <c r="I7" s="420"/>
      <c r="J7" s="1392"/>
      <c r="K7" s="1392"/>
      <c r="L7" s="1392"/>
      <c r="M7" s="1392"/>
      <c r="N7" s="1392"/>
      <c r="O7" s="1392"/>
      <c r="P7" s="1392"/>
    </row>
    <row r="8" spans="1:16">
      <c r="A8" s="47" t="s">
        <v>1918</v>
      </c>
      <c r="B8" s="50" t="s">
        <v>1919</v>
      </c>
      <c r="C8" s="48" t="s">
        <v>1920</v>
      </c>
      <c r="D8" s="48">
        <f t="shared" ref="D8:D15" si="0">ROUND($D$3*E8/$E$3,2)</f>
        <v>29206.66</v>
      </c>
      <c r="E8" s="51">
        <f>SUMIF('数据-基础表'!BB10:BK10,"地上",'数据-基础表'!BB5:BK5)</f>
        <v>127439.59000000001</v>
      </c>
      <c r="F8" s="1392"/>
      <c r="G8" s="2236"/>
      <c r="H8" s="2236"/>
      <c r="I8" s="1392"/>
      <c r="J8" s="1392"/>
      <c r="K8" s="1392"/>
      <c r="L8" s="1392"/>
      <c r="M8" s="1392"/>
      <c r="N8" s="1392"/>
      <c r="O8" s="1392"/>
      <c r="P8" s="1392"/>
    </row>
    <row r="9" spans="1:16">
      <c r="A9" s="2237"/>
      <c r="B9" s="2238"/>
      <c r="C9" s="48" t="s">
        <v>1921</v>
      </c>
      <c r="D9" s="48">
        <f t="shared" si="0"/>
        <v>0</v>
      </c>
      <c r="E9" s="52">
        <v>0</v>
      </c>
      <c r="F9" s="1392"/>
      <c r="G9" s="2236"/>
      <c r="H9" s="2236"/>
      <c r="I9" s="1392"/>
      <c r="J9" s="1392"/>
      <c r="K9" s="1392"/>
      <c r="L9" s="1392"/>
      <c r="M9" s="1392"/>
      <c r="N9" s="1392"/>
      <c r="O9" s="1392"/>
      <c r="P9" s="1392"/>
    </row>
    <row r="10" spans="1:16">
      <c r="A10" s="2237"/>
      <c r="B10" s="2238"/>
      <c r="C10" s="48" t="s">
        <v>1929</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1922</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1923</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1924</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1935</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4.5" thickBot="1">
      <c r="A15" s="2237"/>
      <c r="B15" s="2238"/>
      <c r="C15" s="48" t="s">
        <v>1930</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4.5" thickBot="1">
      <c r="A16" s="2233"/>
      <c r="B16" s="2238"/>
      <c r="C16" s="50" t="s">
        <v>1925</v>
      </c>
      <c r="D16" s="50">
        <f>SUM(D8:D15)</f>
        <v>29206.66</v>
      </c>
      <c r="E16" s="53">
        <f>SUM(E8:E15)</f>
        <v>127439.59000000001</v>
      </c>
      <c r="F16" s="1392"/>
      <c r="G16" s="2236"/>
      <c r="H16" s="2239" t="s">
        <v>1936</v>
      </c>
      <c r="I16" s="2240"/>
      <c r="J16" s="1392"/>
      <c r="K16" s="3060" t="s">
        <v>1936</v>
      </c>
      <c r="L16" s="3061"/>
      <c r="M16" s="3061"/>
      <c r="N16" s="3061"/>
      <c r="O16" s="3061"/>
      <c r="P16" s="3062"/>
    </row>
    <row r="17" spans="1:19">
      <c r="A17" s="2241" t="s">
        <v>1937</v>
      </c>
      <c r="B17" s="2242" t="s">
        <v>1938</v>
      </c>
      <c r="C17" s="2243" t="s">
        <v>1939</v>
      </c>
      <c r="D17" s="2244" t="s">
        <v>1927</v>
      </c>
      <c r="E17" s="2245" t="s">
        <v>1928</v>
      </c>
      <c r="F17" s="2246"/>
      <c r="G17" s="2247"/>
      <c r="H17" s="2248" t="s">
        <v>1940</v>
      </c>
      <c r="I17" s="2249" t="s">
        <v>4624</v>
      </c>
      <c r="J17" s="1392"/>
      <c r="K17" s="3057" t="s">
        <v>1941</v>
      </c>
      <c r="L17" s="3058"/>
      <c r="M17" s="3059"/>
      <c r="N17" s="3057" t="s">
        <v>1942</v>
      </c>
      <c r="O17" s="3058"/>
      <c r="P17" s="3059"/>
      <c r="R17" s="2227" t="s">
        <v>1943</v>
      </c>
      <c r="S17" s="64"/>
    </row>
    <row r="18" spans="1:19">
      <c r="A18" s="2237"/>
      <c r="B18" s="2250"/>
      <c r="C18" s="2251"/>
      <c r="D18" s="2252"/>
      <c r="E18" s="2253" t="s">
        <v>1944</v>
      </c>
      <c r="F18" s="2254" t="s">
        <v>1945</v>
      </c>
      <c r="G18" s="2255" t="s">
        <v>1946</v>
      </c>
      <c r="H18" s="1262" t="s">
        <v>1947</v>
      </c>
      <c r="I18" s="2256" t="s">
        <v>1948</v>
      </c>
      <c r="J18" s="1392"/>
      <c r="K18" s="1262" t="s">
        <v>1949</v>
      </c>
      <c r="L18" s="2257" t="s">
        <v>1950</v>
      </c>
      <c r="M18" s="1046" t="s">
        <v>1951</v>
      </c>
      <c r="N18" s="1262" t="s">
        <v>1949</v>
      </c>
      <c r="O18" s="2257" t="s">
        <v>1950</v>
      </c>
      <c r="P18" s="1046" t="s">
        <v>1951</v>
      </c>
      <c r="R18" s="1247" t="s">
        <v>1952</v>
      </c>
      <c r="S18" s="1247" t="s">
        <v>1953</v>
      </c>
    </row>
    <row r="19" spans="1:19">
      <c r="A19" s="2258"/>
      <c r="B19" s="50" t="s">
        <v>1926</v>
      </c>
      <c r="C19" s="2956" t="s">
        <v>3075</v>
      </c>
      <c r="D19" s="48">
        <f>ROUND($D$3*E19/$E$3,2)</f>
        <v>16951.13</v>
      </c>
      <c r="E19" s="56">
        <f t="shared" ref="E19:E26" si="1">SUM(F19:G19)</f>
        <v>73964.140000000058</v>
      </c>
      <c r="F19" s="57">
        <f>'数据-基础表'!I5-'数据-基础表'!J5</f>
        <v>73964.140000000058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16951.13</v>
      </c>
      <c r="S19" s="1248">
        <f t="shared" si="5"/>
        <v>73964.140000000058</v>
      </c>
    </row>
    <row r="20" spans="1:19">
      <c r="A20" s="2261"/>
      <c r="B20" s="50" t="s">
        <v>1954</v>
      </c>
      <c r="C20" s="2956" t="s">
        <v>3076</v>
      </c>
      <c r="D20" s="48">
        <f t="shared" ref="D20:D26" si="6">ROUND($D$3*E20/$E$3,2)</f>
        <v>1832.78</v>
      </c>
      <c r="E20" s="56">
        <f t="shared" si="1"/>
        <v>7997.1</v>
      </c>
      <c r="F20" s="57">
        <f>'数据-基础表'!K5-'数据-基础表'!L5</f>
        <v>7997.1</v>
      </c>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1832.78</v>
      </c>
      <c r="S20" s="1248">
        <f t="shared" si="5"/>
        <v>7997.1</v>
      </c>
    </row>
    <row r="21" spans="1:19">
      <c r="A21" s="2261"/>
      <c r="B21" s="50" t="s">
        <v>1954</v>
      </c>
      <c r="C21" s="2956" t="s">
        <v>4623</v>
      </c>
      <c r="D21" s="48">
        <f t="shared" si="6"/>
        <v>5140.49</v>
      </c>
      <c r="E21" s="56">
        <f t="shared" si="1"/>
        <v>22429.899999999965</v>
      </c>
      <c r="F21" s="57">
        <f>抵押物清单!J12+抵押物清单!J13+抵押物清单!J14</f>
        <v>22429.899999999965</v>
      </c>
      <c r="G21" s="58"/>
      <c r="H21" s="723">
        <f t="shared" si="7"/>
        <v>0</v>
      </c>
      <c r="I21" s="51">
        <f t="shared" si="2"/>
        <v>0</v>
      </c>
      <c r="J21" s="1392"/>
      <c r="K21" s="1391">
        <f t="shared" si="3"/>
        <v>0</v>
      </c>
      <c r="L21" s="1247">
        <f t="shared" si="4"/>
        <v>0</v>
      </c>
      <c r="M21" s="1403">
        <f t="shared" si="8"/>
        <v>0</v>
      </c>
      <c r="N21" s="2259"/>
      <c r="O21" s="2260"/>
      <c r="P21" s="1403">
        <f t="shared" si="9"/>
        <v>0</v>
      </c>
      <c r="R21" s="1247">
        <f t="shared" si="5"/>
        <v>5140.49</v>
      </c>
      <c r="S21" s="1248">
        <f t="shared" si="5"/>
        <v>22429.899999999965</v>
      </c>
    </row>
    <row r="22" spans="1:19">
      <c r="A22" s="2261"/>
      <c r="B22" s="50" t="s">
        <v>1954</v>
      </c>
      <c r="C22" s="2959" t="s">
        <v>3084</v>
      </c>
      <c r="D22" s="48">
        <f t="shared" si="6"/>
        <v>5282.25</v>
      </c>
      <c r="E22" s="56">
        <f t="shared" si="1"/>
        <v>23048.45</v>
      </c>
      <c r="F22" s="61">
        <f>抵押物清单!J15</f>
        <v>23048.45</v>
      </c>
      <c r="G22" s="62"/>
      <c r="H22" s="723">
        <f t="shared" si="7"/>
        <v>0</v>
      </c>
      <c r="I22" s="51">
        <f t="shared" si="2"/>
        <v>0</v>
      </c>
      <c r="J22" s="1392"/>
      <c r="K22" s="1391">
        <f t="shared" si="3"/>
        <v>0</v>
      </c>
      <c r="L22" s="1247">
        <f t="shared" si="4"/>
        <v>0</v>
      </c>
      <c r="M22" s="1403">
        <f t="shared" si="8"/>
        <v>0</v>
      </c>
      <c r="N22" s="2259"/>
      <c r="O22" s="2260"/>
      <c r="P22" s="1403">
        <f t="shared" si="9"/>
        <v>0</v>
      </c>
      <c r="R22" s="1247">
        <f t="shared" si="5"/>
        <v>5282.25</v>
      </c>
      <c r="S22" s="1248">
        <f t="shared" si="5"/>
        <v>23048.45</v>
      </c>
    </row>
    <row r="23" spans="1:19">
      <c r="A23" s="2261"/>
      <c r="B23" s="50" t="s">
        <v>1954</v>
      </c>
      <c r="C23" s="2959"/>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28.5" thickBot="1">
      <c r="A27" s="2261"/>
      <c r="B27" s="48"/>
      <c r="C27" s="2264" t="s">
        <v>1955</v>
      </c>
      <c r="D27" s="1393">
        <f>SUM(D19:D26)</f>
        <v>29206.65</v>
      </c>
      <c r="E27" s="1394">
        <f>IF(SUM(E19:E26)='数据-基础表'!BA5,SUM(E19:E26),IF(F27="地上面积有误","面积有误","地下面积有误"))</f>
        <v>127439.59000000003</v>
      </c>
      <c r="F27" s="1393">
        <f>IF(SUM(F19:F26)=E8,SUM(F19:F26),"地上面积有误")</f>
        <v>127439.59000000003</v>
      </c>
      <c r="G27" s="1395">
        <f>SUM(G19:G26)</f>
        <v>0</v>
      </c>
      <c r="H27" s="1396">
        <f>SUM(H19:H26)</f>
        <v>0</v>
      </c>
      <c r="I27" s="1397">
        <f>SUM(I19:I26)</f>
        <v>0</v>
      </c>
      <c r="J27" s="1392"/>
      <c r="K27" s="1400">
        <f t="shared" ref="K27:P27" si="10">SUM(K19:K26)</f>
        <v>0</v>
      </c>
      <c r="L27" s="1401">
        <f t="shared" si="10"/>
        <v>0</v>
      </c>
      <c r="M27" s="1404">
        <f t="shared" si="10"/>
        <v>0</v>
      </c>
      <c r="N27" s="1400">
        <f t="shared" si="10"/>
        <v>0</v>
      </c>
      <c r="O27" s="1401">
        <f t="shared" si="10"/>
        <v>0</v>
      </c>
      <c r="P27" s="1402">
        <f t="shared" si="10"/>
        <v>0</v>
      </c>
      <c r="R27" s="1249" t="str">
        <f>IF(SUM(R19:R26)=$D$3,SUM(R19:R26),SUM(R19:R26)&amp;"误差"&amp;ROUND(SUM(R19:R26)-$D$3,2))</f>
        <v>29206.65误差-0.01</v>
      </c>
      <c r="S27" s="1247">
        <f>IF(SUM(S19:S26)=$E$3,SUM(S19:S26),SUM(S19:S26)&amp;"误差"&amp;ROUND(SUM(S19:S26)-E3,2))</f>
        <v>127439.59000000003</v>
      </c>
    </row>
    <row r="28" spans="1:19">
      <c r="A28" s="2261"/>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1956</v>
      </c>
      <c r="C29" s="2265"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c r="A30" s="2261"/>
      <c r="B30" s="50"/>
      <c r="C30" s="2266" t="s">
        <v>1955</v>
      </c>
      <c r="D30" s="1393">
        <f>SUM(D28:D29)</f>
        <v>0</v>
      </c>
      <c r="E30" s="1393">
        <f>SUM(E28:E29)</f>
        <v>0</v>
      </c>
      <c r="F30" s="1393">
        <f>SUM(F28:F29)</f>
        <v>0</v>
      </c>
      <c r="G30" s="1395">
        <f>SUM(G28:G29)</f>
        <v>0</v>
      </c>
      <c r="H30" s="1392"/>
      <c r="I30" s="1392"/>
      <c r="J30" s="1392"/>
      <c r="K30" s="1392"/>
      <c r="L30" s="1392"/>
      <c r="M30" s="1392"/>
      <c r="N30" s="1392"/>
      <c r="O30" s="1392"/>
      <c r="P30" s="1392"/>
    </row>
    <row r="31" spans="1:19" ht="14.5" thickBot="1">
      <c r="A31" s="2267"/>
      <c r="B31" s="2268"/>
      <c r="C31" s="1007" t="s">
        <v>1959</v>
      </c>
      <c r="D31" s="729">
        <f>D27+D30</f>
        <v>29206.65</v>
      </c>
      <c r="E31" s="729">
        <f>E27+E30</f>
        <v>127439.59000000003</v>
      </c>
      <c r="F31" s="730">
        <f>F27+F30</f>
        <v>127439.59000000003</v>
      </c>
      <c r="G31" s="731">
        <f>G27+G30</f>
        <v>0</v>
      </c>
      <c r="H31" s="1392"/>
      <c r="I31" s="1392"/>
      <c r="J31" s="1392"/>
      <c r="K31" s="1392"/>
      <c r="L31" s="1392"/>
      <c r="M31" s="1392"/>
      <c r="N31" s="1392"/>
      <c r="O31" s="1392"/>
      <c r="P31" s="1392"/>
    </row>
    <row r="32" spans="1:19">
      <c r="A32" s="2232"/>
      <c r="B32" s="2232" t="s">
        <v>1960</v>
      </c>
      <c r="C32" s="2232"/>
      <c r="D32" s="2232"/>
      <c r="E32" s="1274">
        <f>SUMIF(C19:C26,"*住宅*",E19:E26)</f>
        <v>73964.140000000058</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E15" activePane="bottomRight" state="frozen"/>
      <selection activeCell="C50" sqref="C50"/>
      <selection pane="topRight" activeCell="C50" sqref="C50"/>
      <selection pane="bottomLeft" activeCell="C50" sqref="C50"/>
      <selection pane="bottomRight" activeCell="Q9" sqref="Q9"/>
    </sheetView>
  </sheetViews>
  <sheetFormatPr defaultColWidth="13.81640625" defaultRowHeight="12.5"/>
  <cols>
    <col min="1" max="1" width="20.90625" style="2343" customWidth="1"/>
    <col min="2" max="2" width="12" style="2273" customWidth="1"/>
    <col min="3" max="3" width="10.81640625" style="2273" customWidth="1"/>
    <col min="4" max="4" width="9.08984375" style="2344" customWidth="1"/>
    <col min="5" max="5" width="15" style="2273" bestFit="1" customWidth="1"/>
    <col min="6" max="10" width="8.90625" style="2273" customWidth="1"/>
    <col min="11" max="12" width="12.36328125" style="2188" customWidth="1"/>
    <col min="13" max="13" width="8.6328125" style="2273" customWidth="1"/>
    <col min="14" max="14" width="11.90625" style="2273" customWidth="1"/>
    <col min="15" max="15" width="8.453125" style="2273" customWidth="1"/>
    <col min="16" max="17" width="10.90625" style="2273" customWidth="1"/>
    <col min="18" max="19" width="12.453125" style="2273" customWidth="1"/>
    <col min="20" max="20" width="12.08984375" style="2273" customWidth="1"/>
    <col min="21" max="21" width="7.453125" style="2273" customWidth="1"/>
    <col min="22" max="22" width="6.36328125" style="2273" customWidth="1"/>
    <col min="23" max="24" width="6.81640625" style="2273" customWidth="1"/>
    <col min="25" max="25" width="9.26953125" style="2273" customWidth="1"/>
    <col min="26" max="30" width="6.81640625" style="2273" customWidth="1"/>
    <col min="31" max="31" width="8" style="2273" customWidth="1"/>
    <col min="32" max="34" width="7.1796875" style="2273" customWidth="1"/>
    <col min="35" max="39" width="8" style="2273" customWidth="1"/>
    <col min="40" max="40" width="13.81640625" style="2272"/>
    <col min="41" max="41" width="11.6328125" style="2272" customWidth="1"/>
    <col min="42" max="42" width="9.81640625" style="2272" customWidth="1"/>
    <col min="43" max="67" width="13.81640625" style="2272"/>
    <col min="68" max="16384" width="13.81640625" style="2273"/>
  </cols>
  <sheetData>
    <row r="1" spans="1:67" ht="18" thickBot="1">
      <c r="A1" s="2270" t="s">
        <v>1961</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4" t="s">
        <v>1962</v>
      </c>
      <c r="B2" s="1266">
        <f>项目基本情况!D3</f>
        <v>43879</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4.5" thickBot="1">
      <c r="A3" s="2027"/>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4.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3" t="s">
        <v>1967</v>
      </c>
      <c r="AA4" s="2243"/>
      <c r="AB4" s="2243"/>
      <c r="AC4" s="2243"/>
      <c r="AD4" s="2243"/>
      <c r="AE4" s="2241" t="s">
        <v>1968</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3">
      <c r="A5" s="2287" t="s">
        <v>1969</v>
      </c>
      <c r="B5" s="2288" t="s">
        <v>1970</v>
      </c>
      <c r="C5" s="2289" t="s">
        <v>1971</v>
      </c>
      <c r="D5" s="2290" t="s">
        <v>1972</v>
      </c>
      <c r="E5" s="1268" t="s">
        <v>1973</v>
      </c>
      <c r="F5" s="2291" t="s">
        <v>1974</v>
      </c>
      <c r="G5" s="1268" t="s">
        <v>1975</v>
      </c>
      <c r="H5" s="1268" t="s">
        <v>1976</v>
      </c>
      <c r="I5" s="1268" t="s">
        <v>1977</v>
      </c>
      <c r="J5" s="2292" t="s">
        <v>1978</v>
      </c>
      <c r="K5" s="2293" t="s">
        <v>1979</v>
      </c>
      <c r="L5" s="2294" t="s">
        <v>1980</v>
      </c>
      <c r="M5" s="2295" t="s">
        <v>1981</v>
      </c>
      <c r="N5" s="2296" t="s">
        <v>1982</v>
      </c>
      <c r="O5" s="2294" t="s">
        <v>1983</v>
      </c>
      <c r="P5" s="2297" t="s">
        <v>1984</v>
      </c>
      <c r="Q5" s="69" t="s">
        <v>1985</v>
      </c>
      <c r="R5" s="2298" t="s">
        <v>1986</v>
      </c>
      <c r="S5" s="2299" t="s">
        <v>1987</v>
      </c>
      <c r="T5" s="2300" t="s">
        <v>1988</v>
      </c>
      <c r="U5" s="1267" t="s">
        <v>1989</v>
      </c>
      <c r="V5" s="1268" t="s">
        <v>1990</v>
      </c>
      <c r="W5" s="1268" t="s">
        <v>1991</v>
      </c>
      <c r="X5" s="71"/>
      <c r="Y5" s="70" t="s">
        <v>1992</v>
      </c>
      <c r="Z5" s="2301" t="s">
        <v>1989</v>
      </c>
      <c r="AA5" s="1268" t="s">
        <v>1990</v>
      </c>
      <c r="AB5" s="1268" t="s">
        <v>1991</v>
      </c>
      <c r="AC5" s="71"/>
      <c r="AD5" s="71" t="s">
        <v>1992</v>
      </c>
      <c r="AE5" s="1267" t="s">
        <v>1993</v>
      </c>
      <c r="AF5" s="1268" t="s">
        <v>1994</v>
      </c>
      <c r="AG5" s="70" t="s">
        <v>1995</v>
      </c>
      <c r="AH5" s="1267" t="s">
        <v>1996</v>
      </c>
      <c r="AI5" s="2301" t="s">
        <v>1997</v>
      </c>
      <c r="AJ5" s="2301" t="s">
        <v>1998</v>
      </c>
      <c r="AK5" s="1268" t="s">
        <v>1999</v>
      </c>
      <c r="AL5" s="1268" t="s">
        <v>2000</v>
      </c>
      <c r="AM5" s="70" t="s">
        <v>2001</v>
      </c>
      <c r="AN5" s="2302" t="s">
        <v>2002</v>
      </c>
      <c r="AO5" s="2073" t="s">
        <v>2003</v>
      </c>
      <c r="AP5" s="1249" t="s">
        <v>2004</v>
      </c>
      <c r="AQ5" s="2303" t="s">
        <v>2005</v>
      </c>
      <c r="AR5" s="2303" t="s">
        <v>2006</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
      <c r="A6" s="2304" t="str">
        <f>'数据-汇总表'!C19</f>
        <v>住宅</v>
      </c>
      <c r="B6" s="2305" t="str">
        <f>IF(A6=0,"","经营性")</f>
        <v>经营性</v>
      </c>
      <c r="C6" s="2306" t="s">
        <v>3073</v>
      </c>
      <c r="D6" s="1051">
        <f>SUMIF(项目基本情况!D$12:I$12,C6,项目基本情况!D$14:I$14)</f>
        <v>70</v>
      </c>
      <c r="E6" s="1048">
        <f>IF(B6="","",SUMIF(项目基本情况!D$12:I$12,C6,项目基本情况!D$13:I$13))</f>
        <v>63460</v>
      </c>
      <c r="F6" s="72">
        <f>SUMIF(项目基本情况!D$12:I$12,C6,项目基本情况!D$15:I$15)</f>
        <v>53.64</v>
      </c>
      <c r="G6" s="73">
        <f t="shared" ref="G6:G13" si="0">IF(ISERROR(ROUND(POWER(1+H6,D6-F6)*(POWER(1+H6,F6)-1)/(POWER(1+H6,D6)-1),3)),0,ROUND(POWER(1+H6,D6-F6)*(POWER(1+H6,F6)-1)/(POWER(1+H6,D6)-1),3))</f>
        <v>0.93799999999999994</v>
      </c>
      <c r="H6" s="802">
        <v>0.04</v>
      </c>
      <c r="I6" s="802">
        <v>4.4999999999999998E-2</v>
      </c>
      <c r="J6" s="74">
        <v>8.5000000000000006E-2</v>
      </c>
      <c r="K6" s="1251">
        <f>SUMIF('数据-汇总表'!C$19:C$33,A6,'数据-汇总表'!E$19:E$33)</f>
        <v>73964.140000000058</v>
      </c>
      <c r="L6" s="803">
        <v>4000</v>
      </c>
      <c r="M6" s="75">
        <f t="shared" ref="M6:M14" si="1">ROUND(K6*L6/10000,0)</f>
        <v>29586</v>
      </c>
      <c r="N6" s="801">
        <v>0.65</v>
      </c>
      <c r="O6" s="75">
        <f>IF($N$5="成新度","——",ROUND(M6*N6,0))</f>
        <v>19231</v>
      </c>
      <c r="P6" s="76">
        <f>IF($N$5="成新度","——",M6-O6)</f>
        <v>10355</v>
      </c>
      <c r="Q6" s="804">
        <v>0.2</v>
      </c>
      <c r="R6" s="77">
        <f ca="1">SUMIF('数据-汇总表'!C$19:C$33,A6,'数据-汇总表'!R$19:R$27)</f>
        <v>16951.13</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7"/>
      <c r="AO6" s="55" t="e">
        <f ca="1">SUMIF(INDIRECT("'"&amp;AN6&amp;"'"&amp;"!A:A"),"总价",INDIRECT("'"&amp;AN6&amp;"'"&amp;"!B:B"))</f>
        <v>#REF!</v>
      </c>
      <c r="AP6" s="2308">
        <f>IF(C6="住宅",K6*L6,0)</f>
        <v>295856560.00000024</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
      <c r="A7" s="2304" t="str">
        <f>'数据-汇总表'!C20</f>
        <v>商业</v>
      </c>
      <c r="B7" s="2305" t="str">
        <f t="shared" ref="B7:B13" si="2">IF(A7=0,"","经营性")</f>
        <v>经营性</v>
      </c>
      <c r="C7" s="2306" t="s">
        <v>1372</v>
      </c>
      <c r="D7" s="1051">
        <f>SUMIF(项目基本情况!D$12:I$12,C7,项目基本情况!D$14:I$14)</f>
        <v>40</v>
      </c>
      <c r="E7" s="1048">
        <f>IF(B7="","",SUMIF(项目基本情况!D$12:I$12,C7,项目基本情况!D$13:I$13))</f>
        <v>52502</v>
      </c>
      <c r="F7" s="72">
        <f>SUMIF(项目基本情况!D$12:I$12,C7,项目基本情况!D$15:I$15)</f>
        <v>23.62</v>
      </c>
      <c r="G7" s="73">
        <f t="shared" si="0"/>
        <v>0.79700000000000004</v>
      </c>
      <c r="H7" s="802">
        <v>0.05</v>
      </c>
      <c r="I7" s="802">
        <v>0.06</v>
      </c>
      <c r="J7" s="74">
        <f>J6</f>
        <v>8.5000000000000006E-2</v>
      </c>
      <c r="K7" s="1251">
        <f>SUMIF('数据-汇总表'!C$19:C$33,A7,'数据-汇总表'!E$19:E$33)</f>
        <v>7997.1</v>
      </c>
      <c r="L7" s="803">
        <v>3500</v>
      </c>
      <c r="M7" s="75">
        <f t="shared" si="1"/>
        <v>2799</v>
      </c>
      <c r="N7" s="801">
        <v>0.65</v>
      </c>
      <c r="O7" s="75">
        <f t="shared" ref="O7:O14" si="3">IF($N$5="成新度","——",ROUND(M7*N7,0))</f>
        <v>1819</v>
      </c>
      <c r="P7" s="76">
        <f t="shared" ref="P7:P14" si="4">IF($N$5="成新度","——",M7-O7)</f>
        <v>980</v>
      </c>
      <c r="Q7" s="804">
        <v>0.2</v>
      </c>
      <c r="R7" s="77">
        <f ca="1">SUMIF('数据-汇总表'!C$19:C$33,A7,'数据-汇总表'!R$19:R$27)</f>
        <v>1832.78</v>
      </c>
      <c r="S7" s="54">
        <f>IF('数据-汇总表'!$I$17="按面积比例",SUMIF('数据-汇总表'!C$19:C$33,A7,'数据-汇总表'!K$19:K$33),SUMIF('数据-汇总表'!C$19:C$33,A7,'数据-汇总表'!N$19:N$33))</f>
        <v>0</v>
      </c>
      <c r="T7" s="1443">
        <f t="shared" ref="T7:T13" si="5">ROUND($L$14*S7/10000,0)</f>
        <v>0</v>
      </c>
      <c r="U7" s="78">
        <v>2.65</v>
      </c>
      <c r="V7" s="79">
        <v>0.03</v>
      </c>
      <c r="W7" s="79">
        <v>0.1</v>
      </c>
      <c r="X7" s="1261"/>
      <c r="Y7" s="80">
        <v>1</v>
      </c>
      <c r="Z7" s="81"/>
      <c r="AA7" s="74"/>
      <c r="AB7" s="74"/>
      <c r="AC7" s="1261"/>
      <c r="AD7" s="82"/>
      <c r="AE7" s="1262">
        <f t="shared" ref="AE7:AE13" ca="1" si="6">IF(AN7="",0,SUMIF(INDIRECT("'"&amp;AN7&amp;"'"&amp;"!E:E"),$AE$5,INDIRECT("'"&amp;AN7&amp;"'"&amp;"!F:F")))</f>
        <v>22.745000000000001</v>
      </c>
      <c r="AF7" s="1803"/>
      <c r="AG7" s="147">
        <f t="shared" ref="AG7:AG13" si="7">IF(AF7="",0,AE7-AF7)</f>
        <v>0</v>
      </c>
      <c r="AH7" s="83"/>
      <c r="AI7" s="85">
        <v>365</v>
      </c>
      <c r="AJ7" s="86"/>
      <c r="AK7" s="87">
        <v>0.01</v>
      </c>
      <c r="AL7" s="2979">
        <v>1.5E-3</v>
      </c>
      <c r="AM7" s="89">
        <v>1.4999999999999999E-2</v>
      </c>
      <c r="AN7" s="2307" t="s">
        <v>4723</v>
      </c>
      <c r="AO7" s="55">
        <f t="shared" ref="AO7:AO13" ca="1" si="8">SUMIF(INDIRECT("'"&amp;AN7&amp;"'"&amp;"!A:A"),"总价",INDIRECT("'"&amp;AN7&amp;"'"&amp;"!B:B"))</f>
        <v>8264</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
      <c r="A8" s="2304" t="str">
        <f>'数据-汇总表'!C21</f>
        <v>公寓</v>
      </c>
      <c r="B8" s="2305" t="str">
        <f t="shared" si="2"/>
        <v>经营性</v>
      </c>
      <c r="C8" s="2306" t="s">
        <v>1372</v>
      </c>
      <c r="D8" s="1051">
        <f>SUMIF(项目基本情况!D$12:I$12,C8,项目基本情况!D$14:I$14)</f>
        <v>40</v>
      </c>
      <c r="E8" s="1048">
        <f>IF(B8="","",SUMIF(项目基本情况!D$12:I$12,C8,项目基本情况!D$13:I$13))</f>
        <v>52502</v>
      </c>
      <c r="F8" s="72">
        <f>SUMIF(项目基本情况!D$12:I$12,C8,项目基本情况!D$15:I$15)</f>
        <v>23.62</v>
      </c>
      <c r="G8" s="73">
        <f t="shared" si="0"/>
        <v>0.78100000000000003</v>
      </c>
      <c r="H8" s="802">
        <v>4.4999999999999998E-2</v>
      </c>
      <c r="I8" s="802">
        <v>5.5E-2</v>
      </c>
      <c r="J8" s="74">
        <f>J6</f>
        <v>8.5000000000000006E-2</v>
      </c>
      <c r="K8" s="1251">
        <f>SUMIF('数据-汇总表'!C$19:C$33,A8,'数据-汇总表'!E$19:E$33)</f>
        <v>22429.899999999965</v>
      </c>
      <c r="L8" s="803">
        <v>4000</v>
      </c>
      <c r="M8" s="75">
        <f>ROUND(K8*L8/10000,0)</f>
        <v>8972</v>
      </c>
      <c r="N8" s="801">
        <v>0.65</v>
      </c>
      <c r="O8" s="75">
        <f t="shared" si="3"/>
        <v>5832</v>
      </c>
      <c r="P8" s="76">
        <f t="shared" si="4"/>
        <v>3140</v>
      </c>
      <c r="Q8" s="804">
        <v>0.2</v>
      </c>
      <c r="R8" s="77">
        <f ca="1">SUMIF('数据-汇总表'!C$19:C$33,A8,'数据-汇总表'!R$19:R$27)</f>
        <v>5140.49</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
      <c r="A9" s="2304" t="str">
        <f>'数据-汇总表'!C22</f>
        <v>办公</v>
      </c>
      <c r="B9" s="2305" t="str">
        <f t="shared" si="2"/>
        <v>经营性</v>
      </c>
      <c r="C9" s="2306" t="s">
        <v>27</v>
      </c>
      <c r="D9" s="1051">
        <f>SUMIF(项目基本情况!D$12:I$12,C9,项目基本情况!D$14:I$14)</f>
        <v>40</v>
      </c>
      <c r="E9" s="1048">
        <f>IF(B9="","",SUMIF(项目基本情况!D$12:I$12,C9,项目基本情况!D$13:I$13))</f>
        <v>52502</v>
      </c>
      <c r="F9" s="72">
        <f>SUMIF(项目基本情况!D$12:I$12,C9,项目基本情况!D$15:I$15)</f>
        <v>23.62</v>
      </c>
      <c r="G9" s="73">
        <f t="shared" si="0"/>
        <v>0.78100000000000003</v>
      </c>
      <c r="H9" s="74">
        <v>4.4999999999999998E-2</v>
      </c>
      <c r="I9" s="74">
        <v>5.5E-2</v>
      </c>
      <c r="J9" s="74">
        <f>J6</f>
        <v>8.5000000000000006E-2</v>
      </c>
      <c r="K9" s="1251">
        <f>SUMIF('数据-汇总表'!C$19:C$33,A9,'数据-汇总表'!E$19:E$33)</f>
        <v>23048.45</v>
      </c>
      <c r="L9" s="803">
        <v>3500</v>
      </c>
      <c r="M9" s="75">
        <f t="shared" si="1"/>
        <v>8067</v>
      </c>
      <c r="N9" s="801">
        <v>0.65</v>
      </c>
      <c r="O9" s="75">
        <f t="shared" si="3"/>
        <v>5244</v>
      </c>
      <c r="P9" s="76">
        <f t="shared" si="4"/>
        <v>2823</v>
      </c>
      <c r="Q9" s="90">
        <v>0.1</v>
      </c>
      <c r="R9" s="77">
        <f ca="1">SUMIF('数据-汇总表'!C$19:C$33,A9,'数据-汇总表'!R$19:R$27)</f>
        <v>5282.25</v>
      </c>
      <c r="S9" s="54">
        <f>IF('数据-汇总表'!$I$17="按面积比例",SUMIF('数据-汇总表'!C$19:C$33,A9,'数据-汇总表'!K$19:K$33),SUMIF('数据-汇总表'!C$19:C$33,A9,'数据-汇总表'!N$19:N$33))</f>
        <v>0</v>
      </c>
      <c r="T9" s="1443">
        <f t="shared" si="5"/>
        <v>0</v>
      </c>
      <c r="U9" s="78">
        <v>3.8</v>
      </c>
      <c r="V9" s="79">
        <v>0.03</v>
      </c>
      <c r="W9" s="79">
        <v>0.15</v>
      </c>
      <c r="X9" s="1261"/>
      <c r="Y9" s="80">
        <v>1</v>
      </c>
      <c r="Z9" s="81"/>
      <c r="AA9" s="74"/>
      <c r="AB9" s="74"/>
      <c r="AC9" s="1261"/>
      <c r="AD9" s="82"/>
      <c r="AE9" s="1262">
        <f t="shared" ca="1" si="6"/>
        <v>22.745000000000001</v>
      </c>
      <c r="AF9" s="1803"/>
      <c r="AG9" s="147">
        <f t="shared" si="7"/>
        <v>0</v>
      </c>
      <c r="AH9" s="83"/>
      <c r="AI9" s="85">
        <v>365</v>
      </c>
      <c r="AJ9" s="86"/>
      <c r="AK9" s="87">
        <v>0.01</v>
      </c>
      <c r="AL9" s="2979">
        <v>1.5E-3</v>
      </c>
      <c r="AM9" s="89">
        <v>0.01</v>
      </c>
      <c r="AN9" s="2307" t="s">
        <v>4717</v>
      </c>
      <c r="AO9" s="55">
        <f t="shared" ca="1" si="8"/>
        <v>35266</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
      <c r="A10" s="2304">
        <f>'数据-汇总表'!C23</f>
        <v>0</v>
      </c>
      <c r="B10" s="2305" t="str">
        <f t="shared" si="2"/>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0"/>
        <v>0</v>
      </c>
      <c r="H10" s="74"/>
      <c r="I10" s="74"/>
      <c r="J10" s="74"/>
      <c r="K10" s="1251">
        <f>SUMIF('数据-汇总表'!C$19:C$33,A10,'数据-汇总表'!E$19:E$33)</f>
        <v>0</v>
      </c>
      <c r="L10" s="803"/>
      <c r="M10" s="75">
        <f t="shared" si="1"/>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
      <c r="A11" s="2304">
        <f>'数据-汇总表'!C24</f>
        <v>0</v>
      </c>
      <c r="B11" s="2305" t="str">
        <f t="shared" si="2"/>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0"/>
        <v>0</v>
      </c>
      <c r="H11" s="74"/>
      <c r="I11" s="74"/>
      <c r="J11" s="74"/>
      <c r="K11" s="1251">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
      <c r="A12" s="2304">
        <f>'数据-汇总表'!C25</f>
        <v>0</v>
      </c>
      <c r="B12" s="2305" t="str">
        <f t="shared" si="2"/>
        <v/>
      </c>
      <c r="C12" s="2306"/>
      <c r="D12" s="1051">
        <f>SUMIF(项目基本情况!D$12:I$12,C12,项目基本情况!D$14:I$14)</f>
        <v>0</v>
      </c>
      <c r="E12" s="1048" t="str">
        <f>IF(B12="","",SUMIF(项目基本情况!D$12:I$12,C12,项目基本情况!D$13:I$13))</f>
        <v/>
      </c>
      <c r="F12" s="72">
        <f>SUMIF(项目基本情况!D$12:I$12,C12,项目基本情况!D$15:I$15)</f>
        <v>0</v>
      </c>
      <c r="G12" s="73">
        <f t="shared" si="0"/>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
      <c r="A13" s="2304">
        <f>'数据-汇总表'!C26</f>
        <v>0</v>
      </c>
      <c r="B13" s="2305" t="str">
        <f t="shared" si="2"/>
        <v/>
      </c>
      <c r="C13" s="2306"/>
      <c r="D13" s="1051">
        <f>SUMIF(项目基本情况!D$12:I$12,C13,项目基本情况!D$14:I$14)</f>
        <v>0</v>
      </c>
      <c r="E13" s="1048" t="str">
        <f>IF(B13="","",SUMIF(项目基本情况!D$12:I$12,C13,项目基本情况!D$13:I$13))</f>
        <v/>
      </c>
      <c r="F13" s="72">
        <f>SUMIF(项目基本情况!D$12:I$12,C13,项目基本情况!D$15:I$15)</f>
        <v>0</v>
      </c>
      <c r="G13" s="73">
        <f t="shared" si="0"/>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
      <c r="A14" s="2309" t="s">
        <v>2007</v>
      </c>
      <c r="B14" s="2305" t="s">
        <v>2008</v>
      </c>
      <c r="C14" s="2310" t="s">
        <v>2007</v>
      </c>
      <c r="D14" s="1051"/>
      <c r="E14" s="1048"/>
      <c r="F14" s="72"/>
      <c r="G14" s="73"/>
      <c r="H14" s="1250"/>
      <c r="I14" s="1250"/>
      <c r="J14" s="1250"/>
      <c r="K14" s="1251">
        <f>SUMIF('数据-汇总表'!C$19:C$33,A14,'数据-汇总表'!E$19:E$33)</f>
        <v>0</v>
      </c>
      <c r="L14" s="91"/>
      <c r="M14" s="75">
        <f t="shared" si="1"/>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8">
      <c r="A15" s="2309" t="s">
        <v>2009</v>
      </c>
      <c r="B15" s="2305" t="s">
        <v>2008</v>
      </c>
      <c r="C15" s="2310"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4.5" thickBot="1">
      <c r="A16" s="2311" t="s">
        <v>2011</v>
      </c>
      <c r="B16" s="97"/>
      <c r="C16" s="1005"/>
      <c r="D16" s="2312"/>
      <c r="E16" s="97"/>
      <c r="F16" s="97"/>
      <c r="G16" s="98">
        <f>ROUND(SUMPRODUCT(G6:G13,K6:K13)/SUMPRODUCT((G6:G13&gt;0)*(K6:K13)),3)</f>
        <v>0.873</v>
      </c>
      <c r="H16" s="99">
        <f>ROUND(SUMPRODUCT(H6:H13,K6:K13)/SUMPRODUCT((H6:H13&gt;0)*(K6:K13)),3)</f>
        <v>4.2000000000000003E-2</v>
      </c>
      <c r="I16" s="100"/>
      <c r="J16" s="100"/>
      <c r="K16" s="101">
        <f>SUM(K6:K15)</f>
        <v>127439.59000000003</v>
      </c>
      <c r="L16" s="102">
        <f>ROUND(M16*10000/SUM(K6:K14),0)</f>
        <v>3878</v>
      </c>
      <c r="M16" s="102">
        <f>SUM(M6:M14)</f>
        <v>49424</v>
      </c>
      <c r="N16" s="103">
        <f>ROUND(SUMPRODUCT(M6:M14,N6:N14)/M16,3)</f>
        <v>0.65</v>
      </c>
      <c r="O16" s="102">
        <f>SUM(O6:O14)</f>
        <v>32126</v>
      </c>
      <c r="P16" s="102">
        <f>SUM(P6:P14)</f>
        <v>17298</v>
      </c>
      <c r="Q16" s="104">
        <f>ROUND(SUMPRODUCT(Q6:Q13,K6:K13)/SUMPRODUCT((Q6:Q13&gt;0)*(K6:K13)),2)</f>
        <v>0.18</v>
      </c>
      <c r="R16" s="1255">
        <f ca="1">SUM(R6:R13)</f>
        <v>29206.65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4.5" thickBot="1">
      <c r="A18" s="68" t="s">
        <v>2012</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
      <c r="A19" s="2314" t="s">
        <v>2013</v>
      </c>
      <c r="B19" s="112">
        <v>0</v>
      </c>
      <c r="C19" s="2275" t="s">
        <v>2014</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
      <c r="A20" s="2315" t="s">
        <v>2015</v>
      </c>
      <c r="B20" s="113">
        <v>2.5</v>
      </c>
      <c r="C20" s="2275" t="s">
        <v>2016</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
      <c r="A21" s="2316" t="s">
        <v>2017</v>
      </c>
      <c r="B21" s="113">
        <f>B20*N16</f>
        <v>1.625</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
      <c r="A22" s="2315" t="s">
        <v>2018</v>
      </c>
      <c r="B22" s="114">
        <f>B19+B20</f>
        <v>2.5</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
      <c r="A23" s="2316" t="s">
        <v>2019</v>
      </c>
      <c r="B23" s="114">
        <f>B19+B21</f>
        <v>1.625</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4.5" thickBot="1">
      <c r="A24" s="2317" t="s">
        <v>2020</v>
      </c>
      <c r="B24" s="115">
        <f>B20-B21</f>
        <v>0.875</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5" thickBot="1">
      <c r="A25" s="2027"/>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4.5" thickBot="1">
      <c r="A26" s="2274" t="s">
        <v>2021</v>
      </c>
      <c r="B26" s="2318" t="s">
        <v>2022</v>
      </c>
      <c r="C26" s="2319" t="s">
        <v>2023</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8.5">
      <c r="A27" s="2320" t="s">
        <v>2024</v>
      </c>
      <c r="B27" s="116">
        <v>220</v>
      </c>
      <c r="C27" s="1763" t="s">
        <v>2025</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8.5">
      <c r="A28" s="2323" t="s">
        <v>2026</v>
      </c>
      <c r="B28" s="119">
        <v>220</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9" thickBot="1">
      <c r="A29" s="2325" t="s">
        <v>2027</v>
      </c>
      <c r="B29" s="121">
        <f ca="1">成本法!C9+成本法!C10</f>
        <v>2803</v>
      </c>
      <c r="C29" s="1763" t="s">
        <v>2028</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8">
      <c r="A30" s="2326" t="s">
        <v>2029</v>
      </c>
      <c r="B30" s="724">
        <v>200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8">
      <c r="A31" s="2323" t="s">
        <v>2030</v>
      </c>
      <c r="B31" s="120">
        <f>B30-B32</f>
        <v>200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8.5" thickBot="1">
      <c r="A32" s="2327" t="s">
        <v>2031</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
      <c r="A33" s="2320" t="s">
        <v>2032</v>
      </c>
      <c r="B33" s="726">
        <v>0.04</v>
      </c>
      <c r="C33" s="1762" t="s">
        <v>2033</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
      <c r="A34" s="2323" t="s">
        <v>2034</v>
      </c>
      <c r="B34" s="122">
        <v>0.05</v>
      </c>
      <c r="C34" s="1762" t="s">
        <v>2035</v>
      </c>
      <c r="D34" s="2276" t="s">
        <v>2036</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
      <c r="A35" s="2323" t="s">
        <v>2037</v>
      </c>
      <c r="B35" s="119">
        <v>200</v>
      </c>
      <c r="C35" s="1762" t="s">
        <v>2038</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4.5" thickBot="1">
      <c r="A36" s="2325" t="s">
        <v>2039</v>
      </c>
      <c r="B36" s="123">
        <v>1.4999999999999999E-2</v>
      </c>
      <c r="C36" s="1762" t="s">
        <v>2040</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
      <c r="A37" s="2326" t="s">
        <v>2041</v>
      </c>
      <c r="B37" s="124">
        <v>0.02</v>
      </c>
      <c r="C37" s="1762" t="s">
        <v>2042</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
      <c r="A38" s="2323" t="s">
        <v>2043</v>
      </c>
      <c r="B38" s="122">
        <v>0.02</v>
      </c>
      <c r="C38" s="1762" t="s">
        <v>2042</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
      <c r="A39" s="2327" t="s">
        <v>2044</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4.5" thickBot="1">
      <c r="A40" s="2327" t="s">
        <v>2045</v>
      </c>
      <c r="B40" s="1300">
        <f ca="1">存贷款利率!G1</f>
        <v>4.7500000000000001E-2</v>
      </c>
      <c r="C40" s="1762" t="s">
        <v>2046</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5">
      <c r="A41" s="2320" t="s">
        <v>2047</v>
      </c>
      <c r="B41" s="125">
        <f>B42+B43</f>
        <v>5.6000000000000001E-2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
      <c r="A42" s="2328" t="s">
        <v>2048</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
      <c r="A43" s="2328" t="s">
        <v>2049</v>
      </c>
      <c r="B43" s="127">
        <f>B42*(B44+B45+B46)+B47</f>
        <v>6.000000000000001E-3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
      <c r="A44" s="2330" t="s">
        <v>2050</v>
      </c>
      <c r="B44" s="128">
        <v>7.0000000000000007E-2</v>
      </c>
      <c r="C44" s="1762" t="s">
        <v>2051</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
      <c r="A45" s="2330" t="s">
        <v>2052</v>
      </c>
      <c r="B45" s="126">
        <v>0.03</v>
      </c>
      <c r="C45" s="1763" t="s">
        <v>2053</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
      <c r="A46" s="2330" t="s">
        <v>2054</v>
      </c>
      <c r="B46" s="126">
        <v>0.02</v>
      </c>
      <c r="C46" s="1763" t="s">
        <v>2055</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4.5" thickBot="1">
      <c r="A47" s="2331" t="s">
        <v>2056</v>
      </c>
      <c r="B47" s="129">
        <v>0</v>
      </c>
      <c r="C47" s="1763" t="s">
        <v>2057</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
      <c r="A48" s="2332" t="s">
        <v>2058</v>
      </c>
      <c r="B48" s="130">
        <v>0.03</v>
      </c>
      <c r="C48" s="1770" t="s">
        <v>2059</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4.5" thickBot="1">
      <c r="A49" s="2327" t="s">
        <v>2060</v>
      </c>
      <c r="B49" s="126">
        <v>5.0000000000000001E-4</v>
      </c>
      <c r="C49" s="1770" t="s">
        <v>2061</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5">
      <c r="A50" s="2333" t="s">
        <v>2062</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2063</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
      <c r="A52" s="2333" t="s">
        <v>2064</v>
      </c>
      <c r="B52" s="133">
        <f>SUMIF(A54:A63,B53,B54:B63)</f>
        <v>15</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
      <c r="A53" s="2323" t="s">
        <v>2065</v>
      </c>
      <c r="B53" s="2334" t="s">
        <v>269</v>
      </c>
      <c r="C53" s="1427" t="s">
        <v>2066</v>
      </c>
      <c r="D53" s="2335" t="s">
        <v>2067</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
      <c r="A54" s="2336" t="s">
        <v>2068</v>
      </c>
      <c r="B54" s="84">
        <v>18</v>
      </c>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
      <c r="A55" s="2336" t="s">
        <v>2069</v>
      </c>
      <c r="B55" s="84">
        <v>15</v>
      </c>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
      <c r="A56" s="2336" t="s">
        <v>2070</v>
      </c>
      <c r="B56" s="84">
        <v>12</v>
      </c>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
      <c r="A57" s="2336" t="s">
        <v>2071</v>
      </c>
      <c r="B57" s="84">
        <v>9</v>
      </c>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
      <c r="A58" s="2336" t="s">
        <v>2072</v>
      </c>
      <c r="B58" s="84">
        <v>6</v>
      </c>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
      <c r="A59" s="2336" t="s">
        <v>2073</v>
      </c>
      <c r="B59" s="84">
        <v>2</v>
      </c>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
      <c r="A60" s="2336" t="s">
        <v>2074</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
      <c r="A61" s="2336" t="s">
        <v>2075</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
      <c r="A62" s="2336" t="s">
        <v>2076</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4.5" thickBot="1">
      <c r="A63" s="2338" t="s">
        <v>2077</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
  <cols>
    <col min="1" max="1" width="9.453125" style="2366" customWidth="1"/>
    <col min="2" max="2" width="24.453125" style="2414" customWidth="1"/>
    <col min="3" max="3" width="24.453125" style="2413" customWidth="1"/>
    <col min="4" max="4" width="2.6328125" style="2413" customWidth="1"/>
    <col min="5" max="5" width="5.90625" style="2413" customWidth="1"/>
    <col min="6" max="6" width="27" style="2414" customWidth="1"/>
    <col min="7" max="7" width="27" style="2415" customWidth="1"/>
    <col min="8" max="8" width="11.90625" style="2393" customWidth="1"/>
    <col min="9" max="9" width="16.81640625" style="2394" customWidth="1"/>
    <col min="10" max="10" width="2.6328125" style="2393" customWidth="1"/>
    <col min="11" max="11" width="11.90625" style="2393" customWidth="1"/>
    <col min="12" max="12" width="16.81640625" style="2394" customWidth="1"/>
    <col min="13" max="13" width="2.6328125" style="2393" customWidth="1"/>
    <col min="14" max="14" width="11.90625" style="2393" customWidth="1"/>
    <col min="15" max="15" width="16.81640625" style="2394" customWidth="1"/>
    <col min="16" max="16" width="2.6328125" style="2393" customWidth="1"/>
    <col min="17" max="17" width="11.90625" style="2393" customWidth="1"/>
    <col min="18" max="18" width="16.81640625" style="2395" customWidth="1"/>
    <col min="19" max="29" width="9" style="2365"/>
    <col min="30" max="16384" width="9" style="2366"/>
  </cols>
  <sheetData>
    <row r="1" spans="1:29" s="2359" customFormat="1" ht="18.5" thickBot="1">
      <c r="A1" s="3072" t="s">
        <v>2078</v>
      </c>
      <c r="B1" s="3073"/>
      <c r="C1" s="3073"/>
      <c r="D1" s="3073"/>
      <c r="E1" s="3073"/>
      <c r="F1" s="3073"/>
      <c r="G1" s="307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4.5" thickBot="1">
      <c r="A2" s="2360"/>
      <c r="B2" s="2361"/>
      <c r="C2" s="2362" t="s">
        <v>2079</v>
      </c>
      <c r="D2" s="2363"/>
      <c r="E2" s="2364"/>
      <c r="F2" s="2284"/>
      <c r="G2" s="2362" t="s">
        <v>2080</v>
      </c>
      <c r="H2" s="2365"/>
      <c r="I2" s="2365"/>
      <c r="J2" s="2365"/>
      <c r="K2" s="2365"/>
      <c r="L2" s="2365"/>
      <c r="M2" s="2365"/>
      <c r="N2" s="2365"/>
      <c r="O2" s="2365"/>
      <c r="P2" s="2365"/>
      <c r="Q2" s="2365"/>
      <c r="R2" s="2365"/>
    </row>
    <row r="3" spans="1:29" ht="56">
      <c r="A3" s="415" t="s">
        <v>2081</v>
      </c>
      <c r="B3" s="1268" t="s">
        <v>2082</v>
      </c>
      <c r="C3" s="2367" t="s">
        <v>2083</v>
      </c>
      <c r="D3" s="2368"/>
      <c r="E3" s="431" t="s">
        <v>2081</v>
      </c>
      <c r="F3" s="2369" t="s">
        <v>2084</v>
      </c>
      <c r="G3" s="2370" t="s">
        <v>2085</v>
      </c>
      <c r="H3" s="2365"/>
      <c r="I3" s="2365"/>
      <c r="J3" s="2365"/>
      <c r="K3" s="2365"/>
      <c r="L3" s="2365"/>
      <c r="M3" s="2365"/>
      <c r="N3" s="2365"/>
      <c r="O3" s="2365"/>
      <c r="P3" s="2365"/>
      <c r="Q3" s="2365"/>
      <c r="R3" s="2365"/>
    </row>
    <row r="4" spans="1:29" ht="42.5">
      <c r="A4" s="431"/>
      <c r="B4" s="1794" t="s">
        <v>2086</v>
      </c>
      <c r="C4" s="2371" t="s">
        <v>2087</v>
      </c>
      <c r="D4" s="2368"/>
      <c r="E4" s="2372"/>
      <c r="F4" s="42" t="s">
        <v>2088</v>
      </c>
      <c r="G4" s="2373" t="s">
        <v>2089</v>
      </c>
      <c r="H4" s="2365"/>
      <c r="I4" s="2365"/>
      <c r="J4" s="2365"/>
      <c r="K4" s="2365"/>
      <c r="L4" s="2365"/>
      <c r="M4" s="2365"/>
      <c r="N4" s="2365"/>
      <c r="O4" s="2365"/>
      <c r="P4" s="2365"/>
      <c r="Q4" s="2365"/>
      <c r="R4" s="2365"/>
    </row>
    <row r="5" spans="1:29" ht="42.5">
      <c r="A5" s="431"/>
      <c r="B5" s="1794" t="s">
        <v>2090</v>
      </c>
      <c r="C5" s="2371" t="s">
        <v>2091</v>
      </c>
      <c r="D5" s="2368"/>
      <c r="E5" s="2372"/>
      <c r="F5" s="1794" t="s">
        <v>2092</v>
      </c>
      <c r="G5" s="2373" t="s">
        <v>2093</v>
      </c>
      <c r="H5" s="2365"/>
      <c r="I5" s="2365"/>
      <c r="J5" s="2365"/>
      <c r="K5" s="2365"/>
      <c r="L5" s="2365"/>
      <c r="M5" s="2365"/>
      <c r="N5" s="2365"/>
      <c r="O5" s="2365"/>
      <c r="P5" s="2365"/>
      <c r="Q5" s="2365"/>
      <c r="R5" s="2365"/>
    </row>
    <row r="6" spans="1:29" ht="56">
      <c r="A6" s="431"/>
      <c r="B6" s="1794" t="s">
        <v>2094</v>
      </c>
      <c r="C6" s="2373" t="s">
        <v>2089</v>
      </c>
      <c r="D6" s="2368"/>
      <c r="E6" s="2372"/>
      <c r="F6" s="1794" t="s">
        <v>2095</v>
      </c>
      <c r="G6" s="2373" t="s">
        <v>2096</v>
      </c>
      <c r="H6" s="2365"/>
      <c r="I6" s="2365"/>
      <c r="J6" s="2365"/>
      <c r="K6" s="2365"/>
      <c r="L6" s="2365"/>
      <c r="M6" s="2365"/>
      <c r="N6" s="2365"/>
      <c r="O6" s="2365"/>
      <c r="P6" s="2365"/>
      <c r="Q6" s="2365"/>
      <c r="R6" s="2365"/>
    </row>
    <row r="7" spans="1:29" ht="42.5" thickBot="1">
      <c r="A7" s="431"/>
      <c r="B7" s="1794" t="s">
        <v>2092</v>
      </c>
      <c r="C7" s="2373" t="s">
        <v>2093</v>
      </c>
      <c r="D7" s="2374"/>
      <c r="E7" s="2375"/>
      <c r="F7" s="2376" t="s">
        <v>2097</v>
      </c>
      <c r="G7" s="2377" t="s">
        <v>2098</v>
      </c>
      <c r="H7" s="2365"/>
      <c r="I7" s="2365"/>
      <c r="J7" s="2365"/>
      <c r="K7" s="2365"/>
      <c r="L7" s="2365"/>
      <c r="M7" s="2365"/>
      <c r="N7" s="2365"/>
      <c r="O7" s="2365"/>
      <c r="P7" s="2365"/>
      <c r="Q7" s="2365"/>
      <c r="R7" s="2365"/>
    </row>
    <row r="8" spans="1:29" ht="28">
      <c r="A8" s="431"/>
      <c r="B8" s="1794" t="s">
        <v>2095</v>
      </c>
      <c r="C8" s="2373" t="s">
        <v>2096</v>
      </c>
      <c r="D8" s="2374"/>
      <c r="E8" s="2374"/>
      <c r="F8" s="1133"/>
      <c r="G8" s="1133"/>
      <c r="H8" s="2365"/>
      <c r="I8" s="2365"/>
      <c r="J8" s="2365"/>
      <c r="K8" s="2365"/>
      <c r="L8" s="2365"/>
      <c r="M8" s="2365"/>
      <c r="N8" s="2365"/>
      <c r="O8" s="2365"/>
      <c r="P8" s="2365"/>
      <c r="Q8" s="2365"/>
      <c r="R8" s="2365"/>
    </row>
    <row r="9" spans="1:29" ht="42">
      <c r="A9" s="431"/>
      <c r="B9" s="1794" t="s">
        <v>2099</v>
      </c>
      <c r="C9" s="2371" t="s">
        <v>2100</v>
      </c>
      <c r="D9" s="2368"/>
      <c r="E9" s="2374"/>
      <c r="F9" s="1133"/>
      <c r="G9" s="1133"/>
      <c r="H9" s="2365"/>
      <c r="I9" s="2365"/>
      <c r="J9" s="2365"/>
      <c r="K9" s="2365"/>
      <c r="L9" s="2365"/>
      <c r="M9" s="2365"/>
      <c r="N9" s="2365"/>
      <c r="O9" s="2365"/>
      <c r="P9" s="2365"/>
      <c r="Q9" s="2365"/>
      <c r="R9" s="2365"/>
    </row>
    <row r="10" spans="1:29" s="117" customFormat="1" ht="14.5" thickBot="1">
      <c r="A10" s="2378"/>
      <c r="B10" s="2379" t="s">
        <v>2101</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8.5" thickBot="1">
      <c r="A13" s="2391" t="s">
        <v>2102</v>
      </c>
      <c r="B13" s="2385"/>
      <c r="C13" s="2385"/>
      <c r="D13" s="2392"/>
      <c r="E13" s="2385"/>
      <c r="F13" s="2385"/>
      <c r="G13" s="2385"/>
    </row>
    <row r="14" spans="1:29" ht="14.5" thickBot="1">
      <c r="A14" s="2396"/>
      <c r="B14" s="2397"/>
      <c r="C14" s="2398" t="s">
        <v>2103</v>
      </c>
      <c r="D14" s="2368"/>
      <c r="E14" s="2399"/>
      <c r="F14" s="2399"/>
      <c r="G14" s="2362" t="s">
        <v>2104</v>
      </c>
    </row>
    <row r="15" spans="1:29" ht="56">
      <c r="A15" s="68" t="s">
        <v>2105</v>
      </c>
      <c r="B15" s="1267" t="s">
        <v>2082</v>
      </c>
      <c r="C15" s="2400" t="str">
        <f>C3</f>
        <v>估价对象周边居住用地比例、居住小区规模和社区发展完善程度，综合评价居住社区成熟度一般</v>
      </c>
      <c r="D15" s="2368"/>
      <c r="E15" s="2401" t="s">
        <v>2106</v>
      </c>
      <c r="F15" s="1267" t="s">
        <v>2107</v>
      </c>
      <c r="G15" s="135" t="str">
        <f>G3</f>
        <v>估价对象位于XX开发区，园区建设成熟度XX，产业集聚程度XX</v>
      </c>
    </row>
    <row r="16" spans="1:29" ht="42">
      <c r="A16" s="645"/>
      <c r="B16" s="2402" t="s">
        <v>2086</v>
      </c>
      <c r="C16" s="2403" t="str">
        <f>C4</f>
        <v>估价对象位于XX商圈，周边商业氛围成熟，人流量大，商业繁华度好</v>
      </c>
      <c r="D16" s="2368"/>
      <c r="E16" s="2404"/>
      <c r="F16" s="2405" t="s">
        <v>2088</v>
      </c>
      <c r="G16" s="136" t="str">
        <f>G4</f>
        <v>估价对象周边道路状况、公共交通通达情况、停车便捷程度，综合评价交通便捷度较好</v>
      </c>
    </row>
    <row r="17" spans="1:18" ht="42">
      <c r="A17" s="645"/>
      <c r="B17" s="2402" t="s">
        <v>2090</v>
      </c>
      <c r="C17" s="2403" t="str">
        <f>C5</f>
        <v>估价对象位于XX商圈，周边办公楼项目较多，入驻率高，办公集聚程度较好</v>
      </c>
      <c r="D17" s="2374"/>
      <c r="E17" s="2404"/>
      <c r="F17" s="2405" t="s">
        <v>2108</v>
      </c>
      <c r="G17" s="1568"/>
    </row>
    <row r="18" spans="1:18" ht="56">
      <c r="A18" s="645"/>
      <c r="B18" s="2405" t="s">
        <v>2094</v>
      </c>
      <c r="C18" s="136" t="str">
        <f>C6</f>
        <v>估价对象周边道路状况、公共交通通达情况、停车便捷程度，综合评价交通便捷度较好</v>
      </c>
      <c r="D18" s="2374"/>
      <c r="E18" s="2404"/>
      <c r="F18" s="2405" t="s">
        <v>2097</v>
      </c>
      <c r="G18" s="136" t="str">
        <f>G7</f>
        <v>该园区内是否有污染型企业，绿化情况，卫生条件，整体环境状况判断</v>
      </c>
    </row>
    <row r="19" spans="1:18" ht="28">
      <c r="A19" s="645"/>
      <c r="B19" s="2405" t="s">
        <v>2109</v>
      </c>
      <c r="C19" s="1568"/>
      <c r="D19" s="2368"/>
      <c r="E19" s="2404"/>
      <c r="F19" s="1794" t="s">
        <v>2092</v>
      </c>
      <c r="G19" s="136" t="str">
        <f>G5</f>
        <v>估价对象所在区域公共配套设施齐备情况</v>
      </c>
    </row>
    <row r="20" spans="1:18" ht="42">
      <c r="A20" s="645"/>
      <c r="B20" s="2405" t="s">
        <v>2110</v>
      </c>
      <c r="C20" s="2403" t="str">
        <f>C9</f>
        <v>区域自然环境：；人文环境；综合评价环境状况一般</v>
      </c>
      <c r="D20" s="2374"/>
      <c r="E20" s="2404"/>
      <c r="F20" s="1794" t="s">
        <v>2111</v>
      </c>
      <c r="G20" s="136" t="str">
        <f>G6</f>
        <v>估价对象所在区域基础设施水平</v>
      </c>
    </row>
    <row r="21" spans="1:18" ht="28">
      <c r="A21" s="645"/>
      <c r="B21" s="1794" t="s">
        <v>2092</v>
      </c>
      <c r="C21" s="136" t="str">
        <f>C7</f>
        <v>估价对象所在区域公共配套设施齐备情况</v>
      </c>
      <c r="D21" s="2368"/>
      <c r="E21" s="2404"/>
      <c r="F21" s="2405" t="s">
        <v>2112</v>
      </c>
      <c r="G21" s="2406"/>
    </row>
    <row r="22" spans="1:18" ht="13.5" customHeight="1">
      <c r="A22" s="645"/>
      <c r="B22" s="1794" t="s">
        <v>2095</v>
      </c>
      <c r="C22" s="136" t="str">
        <f>C8</f>
        <v>估价对象所在区域基础设施水平</v>
      </c>
      <c r="D22" s="2368"/>
      <c r="E22" s="2404"/>
      <c r="F22" s="2405" t="s">
        <v>2101</v>
      </c>
      <c r="G22" s="1568"/>
    </row>
    <row r="23" spans="1:18" s="2365" customFormat="1" ht="14.5" thickBot="1">
      <c r="A23" s="645"/>
      <c r="B23" s="2405" t="s">
        <v>2112</v>
      </c>
      <c r="C23" s="2406"/>
      <c r="D23" s="2393"/>
      <c r="E23" s="2407"/>
      <c r="F23" s="2408" t="s">
        <v>2113</v>
      </c>
      <c r="G23" s="2409"/>
      <c r="H23" s="2393"/>
      <c r="I23" s="2394"/>
      <c r="J23" s="2393"/>
      <c r="K23" s="2393"/>
      <c r="L23" s="2394"/>
      <c r="M23" s="2393"/>
      <c r="N23" s="2393"/>
      <c r="O23" s="2394"/>
      <c r="P23" s="2393"/>
      <c r="Q23" s="2393"/>
      <c r="R23" s="2395"/>
    </row>
    <row r="24" spans="1:18" s="2365" customFormat="1" ht="14.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topLeftCell="A4" workbookViewId="0">
      <selection activeCell="G19" sqref="G19"/>
    </sheetView>
  </sheetViews>
  <sheetFormatPr defaultColWidth="9" defaultRowHeight="14"/>
  <cols>
    <col min="1" max="1" width="23.36328125" style="1737" customWidth="1"/>
    <col min="2" max="9" width="15.81640625" style="1737" customWidth="1"/>
    <col min="10" max="16384" width="9" style="1737"/>
  </cols>
  <sheetData>
    <row r="1" spans="1:10" ht="16.5">
      <c r="A1" s="1742" t="s">
        <v>1360</v>
      </c>
      <c r="B1" s="1742">
        <f>SUM(B14:B23)</f>
        <v>127439.59000000001</v>
      </c>
      <c r="C1" s="1741"/>
      <c r="D1" s="1741"/>
      <c r="E1" s="1741"/>
      <c r="F1" s="1741"/>
      <c r="G1" s="1739"/>
    </row>
    <row r="2" spans="1:10" ht="16.5">
      <c r="A2" s="1742" t="s">
        <v>1348</v>
      </c>
      <c r="B2" s="1742">
        <f>SUM(C14:C23)</f>
        <v>29206.66</v>
      </c>
      <c r="C2" s="1741"/>
      <c r="D2" s="1741"/>
      <c r="E2" s="1741"/>
      <c r="F2" s="1741"/>
      <c r="G2" s="1739"/>
    </row>
    <row r="3" spans="1:10" ht="16.5">
      <c r="A3" s="1742" t="s">
        <v>1357</v>
      </c>
      <c r="B3" s="1743">
        <f>项目基本情况!D3</f>
        <v>43879</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182092</v>
      </c>
      <c r="C5" s="1742">
        <f ca="1">ROUND(B5*10000/$B$1,0)</f>
        <v>14288</v>
      </c>
      <c r="D5" s="1742">
        <f ca="1">ROUND(B5*10000/$B$2,0)</f>
        <v>62346</v>
      </c>
      <c r="E5" s="1741"/>
      <c r="F5" s="1739"/>
      <c r="G5" s="1739"/>
    </row>
    <row r="6" spans="1:10" ht="16.5">
      <c r="A6" s="1742" t="s">
        <v>1351</v>
      </c>
      <c r="B6" s="1742">
        <f ca="1">SUM(G14:G23)</f>
        <v>182092</v>
      </c>
      <c r="C6" s="1742">
        <f ca="1">ROUND(B6*10000/$B$1,0)</f>
        <v>14288</v>
      </c>
      <c r="D6" s="1742">
        <f ca="1">ROUND(B6*10000/$B$2,0)</f>
        <v>62346</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 ca="1">SUM(I14:I23)</f>
        <v>140820</v>
      </c>
      <c r="C8" s="1742">
        <f ca="1">ROUND(B8*10000/$B$1,0)</f>
        <v>11050</v>
      </c>
      <c r="D8" s="1742">
        <f ca="1">ROUND(B8*10000/$B$2,0)</f>
        <v>48215</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127439.59000000001</v>
      </c>
      <c r="C14" s="1740">
        <f>结果表!C118</f>
        <v>29206.66</v>
      </c>
      <c r="D14" s="1740">
        <f ca="1">结果表!H118</f>
        <v>182092</v>
      </c>
      <c r="E14" s="1740">
        <f ca="1">ROUND(D14*10000/B14,0)</f>
        <v>14288</v>
      </c>
      <c r="F14" s="1740">
        <f ca="1">ROUND(D14*10000/C14,0)</f>
        <v>62346</v>
      </c>
      <c r="G14" s="1740">
        <f ca="1">结果表!D122</f>
        <v>182092</v>
      </c>
      <c r="H14" s="1740" t="str">
        <f>结果表!D124</f>
        <v>——</v>
      </c>
      <c r="I14" s="1740">
        <f ca="1">结果表!D126</f>
        <v>140820</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tabSelected="1" view="pageBreakPreview" topLeftCell="A7" zoomScaleNormal="100" zoomScaleSheetLayoutView="100" zoomScalePageLayoutView="80" workbookViewId="0">
      <selection activeCell="I26" sqref="I26"/>
    </sheetView>
  </sheetViews>
  <sheetFormatPr defaultColWidth="12.6328125" defaultRowHeight="21.75" customHeight="1"/>
  <cols>
    <col min="1" max="2" width="12.6328125" style="2422"/>
    <col min="3" max="4" width="12.6328125" style="2422" customWidth="1"/>
    <col min="5" max="9" width="12.6328125" style="2422"/>
    <col min="10" max="11" width="12.6328125" style="795" customWidth="1"/>
    <col min="12" max="12" width="12.6328125" style="795"/>
    <col min="13" max="13" width="14.08984375" style="795" bestFit="1" customWidth="1"/>
    <col min="14" max="26" width="12.6328125" style="795"/>
    <col min="27" max="35" width="12.6328125" style="2421"/>
    <col min="36" max="16384" width="12.6328125" style="2422"/>
  </cols>
  <sheetData>
    <row r="1" spans="1:12" ht="21.75" customHeight="1" thickBot="1">
      <c r="A1" s="2224" t="s">
        <v>2115</v>
      </c>
      <c r="B1" s="2416"/>
      <c r="C1" s="2417"/>
      <c r="D1" s="2416"/>
      <c r="E1" s="2416"/>
      <c r="F1" s="2418" t="s">
        <v>2116</v>
      </c>
      <c r="G1" s="2069" t="s">
        <v>2117</v>
      </c>
      <c r="H1" s="2419" t="str">
        <f>IF(G1="现房","——","估价对象范围")</f>
        <v>估价对象范围</v>
      </c>
      <c r="I1" s="2420" t="s">
        <v>4595</v>
      </c>
    </row>
    <row r="2" spans="1:12" ht="21.75" customHeight="1" thickBot="1">
      <c r="A2" s="3107" t="str">
        <f>项目基本情况!S2</f>
        <v>出让国有建设用地使用权及在建建筑物房地产</v>
      </c>
      <c r="B2" s="3108"/>
      <c r="C2" s="3108"/>
      <c r="D2" s="3108"/>
      <c r="E2" s="3108"/>
      <c r="F2" s="3108"/>
      <c r="G2" s="3108"/>
      <c r="H2" s="3108"/>
      <c r="I2" s="3109"/>
    </row>
    <row r="3" spans="1:12" ht="13">
      <c r="A3" s="3111" t="s">
        <v>2118</v>
      </c>
      <c r="B3" s="3112"/>
      <c r="C3" s="3112"/>
      <c r="D3" s="3112"/>
      <c r="E3" s="3112"/>
      <c r="F3" s="3112"/>
      <c r="G3" s="3112"/>
      <c r="H3" s="3112"/>
      <c r="I3" s="3112"/>
    </row>
    <row r="4" spans="1:12" ht="14">
      <c r="A4" s="2423" t="s">
        <v>2119</v>
      </c>
      <c r="B4" s="2424" t="s">
        <v>2120</v>
      </c>
      <c r="C4" s="2425" t="s">
        <v>4596</v>
      </c>
      <c r="D4" s="2425" t="s">
        <v>4597</v>
      </c>
      <c r="E4" s="3104" t="s">
        <v>2121</v>
      </c>
      <c r="F4" s="3105"/>
      <c r="G4" s="3105"/>
      <c r="H4" s="3105"/>
      <c r="I4" s="3113"/>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3">
      <c r="A5" s="3087" t="s">
        <v>2122</v>
      </c>
      <c r="B5" s="3024">
        <v>25</v>
      </c>
      <c r="C5" s="3090"/>
      <c r="D5" s="3110"/>
      <c r="E5" s="140" t="s">
        <v>2123</v>
      </c>
      <c r="F5" s="2427"/>
      <c r="G5" s="2427"/>
      <c r="H5" s="2427"/>
      <c r="I5" s="1830"/>
    </row>
    <row r="6" spans="1:12" ht="13">
      <c r="A6" s="3087"/>
      <c r="B6" s="3024"/>
      <c r="C6" s="3091"/>
      <c r="D6" s="3110"/>
      <c r="E6" s="140" t="s">
        <v>2124</v>
      </c>
      <c r="F6" s="2427"/>
      <c r="G6" s="2427"/>
      <c r="H6" s="2427"/>
      <c r="I6" s="1830"/>
    </row>
    <row r="7" spans="1:12" ht="13">
      <c r="A7" s="3087"/>
      <c r="B7" s="3024"/>
      <c r="C7" s="3092"/>
      <c r="D7" s="3110"/>
      <c r="E7" s="140" t="s">
        <v>2125</v>
      </c>
      <c r="F7" s="2427"/>
      <c r="G7" s="2427"/>
      <c r="H7" s="2427"/>
      <c r="I7" s="1830"/>
    </row>
    <row r="8" spans="1:12" ht="13">
      <c r="A8" s="3087" t="s">
        <v>2126</v>
      </c>
      <c r="B8" s="3024">
        <v>15</v>
      </c>
      <c r="C8" s="3090"/>
      <c r="D8" s="3110"/>
      <c r="E8" s="140" t="s">
        <v>2127</v>
      </c>
      <c r="F8" s="2427"/>
      <c r="G8" s="2427"/>
      <c r="H8" s="2427"/>
      <c r="I8" s="1830"/>
    </row>
    <row r="9" spans="1:12" ht="13">
      <c r="A9" s="3087"/>
      <c r="B9" s="3024"/>
      <c r="C9" s="3092"/>
      <c r="D9" s="3110"/>
      <c r="E9" s="140" t="s">
        <v>2128</v>
      </c>
      <c r="F9" s="2427"/>
      <c r="G9" s="2427"/>
      <c r="H9" s="2427"/>
      <c r="I9" s="1830"/>
    </row>
    <row r="10" spans="1:12" ht="13">
      <c r="A10" s="3087" t="s">
        <v>2129</v>
      </c>
      <c r="B10" s="3024">
        <v>15</v>
      </c>
      <c r="C10" s="3090"/>
      <c r="D10" s="3110"/>
      <c r="E10" s="140" t="s">
        <v>2130</v>
      </c>
      <c r="F10" s="2427"/>
      <c r="G10" s="2427"/>
      <c r="H10" s="2427"/>
      <c r="I10" s="1830"/>
    </row>
    <row r="11" spans="1:12" ht="13">
      <c r="A11" s="3087"/>
      <c r="B11" s="3024"/>
      <c r="C11" s="3092"/>
      <c r="D11" s="3110"/>
      <c r="E11" s="140" t="s">
        <v>2131</v>
      </c>
      <c r="F11" s="2427"/>
      <c r="G11" s="2427"/>
      <c r="H11" s="2427"/>
      <c r="I11" s="1830"/>
    </row>
    <row r="12" spans="1:12" ht="13">
      <c r="A12" s="3087" t="s">
        <v>2132</v>
      </c>
      <c r="B12" s="3024">
        <v>15</v>
      </c>
      <c r="C12" s="3090"/>
      <c r="D12" s="3110"/>
      <c r="E12" s="140" t="s">
        <v>2133</v>
      </c>
      <c r="F12" s="2427"/>
      <c r="G12" s="2427"/>
      <c r="H12" s="2427"/>
      <c r="I12" s="1830"/>
    </row>
    <row r="13" spans="1:12" ht="13">
      <c r="A13" s="3087"/>
      <c r="B13" s="3024"/>
      <c r="C13" s="3092"/>
      <c r="D13" s="3110"/>
      <c r="E13" s="140" t="s">
        <v>2134</v>
      </c>
      <c r="F13" s="2427"/>
      <c r="G13" s="2427"/>
      <c r="H13" s="2427"/>
      <c r="I13" s="1830"/>
    </row>
    <row r="14" spans="1:12" ht="13">
      <c r="A14" s="3087" t="s">
        <v>2135</v>
      </c>
      <c r="B14" s="3024">
        <v>30</v>
      </c>
      <c r="C14" s="3090">
        <v>4</v>
      </c>
      <c r="D14" s="3110">
        <v>6</v>
      </c>
      <c r="E14" s="140" t="s">
        <v>2136</v>
      </c>
      <c r="F14" s="2427"/>
      <c r="G14" s="2427"/>
      <c r="H14" s="2427"/>
      <c r="I14" s="1830"/>
    </row>
    <row r="15" spans="1:12" ht="13">
      <c r="A15" s="3087"/>
      <c r="B15" s="3024"/>
      <c r="C15" s="3091"/>
      <c r="D15" s="3110"/>
      <c r="E15" s="140" t="s">
        <v>2137</v>
      </c>
      <c r="F15" s="2427"/>
      <c r="G15" s="2427"/>
      <c r="H15" s="2427"/>
      <c r="I15" s="1830"/>
    </row>
    <row r="16" spans="1:12" ht="13">
      <c r="A16" s="3087"/>
      <c r="B16" s="3024"/>
      <c r="C16" s="3092"/>
      <c r="D16" s="3110"/>
      <c r="E16" s="140" t="s">
        <v>2138</v>
      </c>
      <c r="F16" s="2427"/>
      <c r="G16" s="2427"/>
      <c r="H16" s="2427"/>
      <c r="I16" s="1830"/>
    </row>
    <row r="17" spans="1:35" ht="14">
      <c r="A17" s="2428" t="s">
        <v>2139</v>
      </c>
      <c r="B17" s="64"/>
      <c r="C17" s="141">
        <f>SUM(C5:C16)</f>
        <v>4</v>
      </c>
      <c r="D17" s="141">
        <f>SUM(D5:D16)</f>
        <v>6</v>
      </c>
      <c r="E17" s="138"/>
      <c r="F17" s="138"/>
      <c r="G17" s="138"/>
      <c r="H17" s="138"/>
      <c r="I17" s="138"/>
      <c r="K17" s="2426"/>
      <c r="L17" s="2429" t="s">
        <v>2140</v>
      </c>
      <c r="M17" s="2429" t="s">
        <v>2141</v>
      </c>
    </row>
    <row r="18" spans="1:35" ht="14.5" thickBot="1">
      <c r="A18" s="2430" t="s">
        <v>2142</v>
      </c>
      <c r="B18" s="2431"/>
      <c r="C18" s="142">
        <f>ROUND(C17/SUM(C17:D17),2)</f>
        <v>0.4</v>
      </c>
      <c r="D18" s="142">
        <f>1-C18</f>
        <v>0.6</v>
      </c>
      <c r="E18" s="138"/>
      <c r="F18" s="138"/>
      <c r="G18" s="138"/>
      <c r="H18" s="138"/>
      <c r="I18" s="138"/>
      <c r="K18" s="2426" t="s">
        <v>2143</v>
      </c>
      <c r="L18" s="2426">
        <f>IF(C1="",'数据-汇总表'!E3,SUMIF(项目类型,C1,'数据-汇总表'!E17:E26)+SUMIF(项目类型,C1,'数据-汇总表'!I17:I26))</f>
        <v>127439.59000000001</v>
      </c>
      <c r="M18" s="2426">
        <f>IF(C1="",'数据-汇总表'!E3,SUMIF(项目类型,C1,'数据-汇总表'!E17:E26))</f>
        <v>127439.59000000001</v>
      </c>
    </row>
    <row r="19" spans="1:35" ht="14">
      <c r="A19" s="2432" t="s">
        <v>2144</v>
      </c>
      <c r="B19" s="2433" t="s">
        <v>2145</v>
      </c>
      <c r="C19" s="143">
        <f ca="1">SUMIF(INDIRECT("'"&amp;C4&amp;"'"&amp;"!A:A"),结果表!B19,INDIRECT("'"&amp;C4&amp;"'"&amp;"!B:B"))</f>
        <v>119927</v>
      </c>
      <c r="D19" s="144">
        <f ca="1">SUMIF(INDIRECT("'"&amp;D4&amp;"'"&amp;"!A:A"),结果表!B19,INDIRECT("'"&amp;D4&amp;"'"&amp;"!B:B"))</f>
        <v>223535</v>
      </c>
      <c r="E19" s="2432" t="s">
        <v>2146</v>
      </c>
      <c r="F19" s="2433" t="s">
        <v>2145</v>
      </c>
      <c r="G19" s="145">
        <f ca="1">ROUND(C19*$C$18+D19*$D$18,0)</f>
        <v>182092</v>
      </c>
      <c r="H19" s="2434" t="s">
        <v>2147</v>
      </c>
      <c r="I19" s="138"/>
      <c r="K19" s="2426" t="s">
        <v>2148</v>
      </c>
      <c r="L19" s="2426">
        <f>IF(C1="",'数据-汇总表'!D3,SUMIF(项目类型,C1,'数据-汇总表'!D17:D26)+SUMIF(项目类型,C1,'数据-汇总表'!H17:H27))</f>
        <v>29206.66</v>
      </c>
      <c r="M19" s="2426">
        <f>IF(C1="",'数据-汇总表'!D3,SUMIF(项目类型,C1,'数据-汇总表'!D17:D26))</f>
        <v>29206.66</v>
      </c>
    </row>
    <row r="20" spans="1:35" ht="14">
      <c r="A20" s="2435"/>
      <c r="B20" s="1247" t="s">
        <v>2149</v>
      </c>
      <c r="C20" s="146">
        <f ca="1">SUMIF(INDIRECT("'"&amp;C4&amp;"'"&amp;"!A:A"),结果表!B20,INDIRECT("'"&amp;C4&amp;"'"&amp;"!B:B"))</f>
        <v>9410</v>
      </c>
      <c r="D20" s="147">
        <f ca="1">SUMIF(INDIRECT("'"&amp;D4&amp;"'"&amp;"!A:A"),结果表!B20,INDIRECT("'"&amp;D4&amp;"'"&amp;"!B:B"))</f>
        <v>17540</v>
      </c>
      <c r="E20" s="2435"/>
      <c r="F20" s="1247" t="s">
        <v>2149</v>
      </c>
      <c r="G20" s="148">
        <f ca="1">ROUND(C20*$C$18+D20*$D$18,0)</f>
        <v>14288</v>
      </c>
      <c r="H20" s="980" t="s">
        <v>2150</v>
      </c>
      <c r="I20" s="138"/>
    </row>
    <row r="21" spans="1:35" ht="15" customHeight="1" thickBot="1">
      <c r="A21" s="1000"/>
      <c r="B21" s="2436" t="s">
        <v>2151</v>
      </c>
      <c r="C21" s="789">
        <f ca="1">ROUND(C19*10000/L19,0)</f>
        <v>41062</v>
      </c>
      <c r="D21" s="790">
        <f ca="1">ROUND(D19*10000/L19,0)</f>
        <v>76536</v>
      </c>
      <c r="E21" s="1000"/>
      <c r="F21" s="2436" t="s">
        <v>2151</v>
      </c>
      <c r="G21" s="149">
        <f ca="1">ROUND(G19*10000/L19,0)</f>
        <v>62346</v>
      </c>
      <c r="H21" s="2437" t="s">
        <v>2150</v>
      </c>
      <c r="I21" s="138"/>
    </row>
    <row r="22" spans="1:35" ht="14.5" thickBot="1">
      <c r="A22" s="2279" t="s">
        <v>2152</v>
      </c>
      <c r="B22" s="2438"/>
      <c r="C22" s="2439"/>
      <c r="D22" s="791">
        <f ca="1">IF(C19&lt;D19,D19/C19-1,C19/D19-1)</f>
        <v>0.86392555471245003</v>
      </c>
      <c r="E22" s="138"/>
      <c r="F22" s="138"/>
      <c r="G22" s="138"/>
      <c r="H22" s="138"/>
      <c r="I22" s="138"/>
    </row>
    <row r="23" spans="1:35" ht="13" thickBot="1">
      <c r="A23" s="2416"/>
      <c r="B23" s="2416"/>
      <c r="C23" s="2416"/>
      <c r="D23" s="2416"/>
      <c r="E23" s="138"/>
      <c r="F23" s="138"/>
      <c r="G23" s="138"/>
      <c r="H23" s="138"/>
      <c r="I23" s="138"/>
    </row>
    <row r="24" spans="1:35" ht="14">
      <c r="A24" s="3081" t="s">
        <v>2153</v>
      </c>
      <c r="B24" s="2433" t="s">
        <v>2145</v>
      </c>
      <c r="C24" s="145">
        <f>IF(B30=0,0,D30)</f>
        <v>0</v>
      </c>
      <c r="D24" s="2440"/>
      <c r="E24" s="138"/>
      <c r="F24" s="138"/>
      <c r="G24" s="138"/>
      <c r="H24" s="138"/>
      <c r="I24" s="138"/>
    </row>
    <row r="25" spans="1:35" ht="14">
      <c r="A25" s="3082"/>
      <c r="B25" s="1247" t="s">
        <v>2149</v>
      </c>
      <c r="C25" s="150">
        <f>IF(B30=0,0,C30)</f>
        <v>0</v>
      </c>
      <c r="D25" s="2441"/>
      <c r="E25" s="138"/>
      <c r="F25" s="138"/>
      <c r="G25" s="138"/>
      <c r="H25" s="138"/>
      <c r="I25" s="138"/>
    </row>
    <row r="26" spans="1:35" ht="13.5" customHeight="1">
      <c r="A26" s="2442" t="s">
        <v>2154</v>
      </c>
      <c r="B26" s="151" t="s">
        <v>2155</v>
      </c>
      <c r="C26" s="151" t="s">
        <v>2156</v>
      </c>
      <c r="D26" s="152" t="s">
        <v>2157</v>
      </c>
      <c r="E26" s="138"/>
      <c r="F26" s="138"/>
      <c r="G26" s="138"/>
      <c r="H26" s="138"/>
      <c r="I26" s="138"/>
    </row>
    <row r="27" spans="1:35" ht="14">
      <c r="A27" s="2442"/>
      <c r="B27" s="151">
        <v>0</v>
      </c>
      <c r="C27" s="151">
        <v>0</v>
      </c>
      <c r="D27" s="152">
        <f>ROUND(C27*B27/10000,0)</f>
        <v>0</v>
      </c>
      <c r="E27" s="138"/>
      <c r="F27" s="138"/>
      <c r="G27" s="138"/>
      <c r="H27" s="138"/>
      <c r="I27" s="138"/>
    </row>
    <row r="28" spans="1:35" ht="14">
      <c r="A28" s="2442"/>
      <c r="B28" s="151"/>
      <c r="C28" s="151"/>
      <c r="D28" s="152"/>
      <c r="E28" s="138"/>
      <c r="F28" s="138"/>
      <c r="G28" s="138"/>
      <c r="H28" s="138"/>
      <c r="I28" s="138"/>
    </row>
    <row r="29" spans="1:35" ht="14">
      <c r="A29" s="2442"/>
      <c r="B29" s="151"/>
      <c r="C29" s="151"/>
      <c r="D29" s="152"/>
      <c r="E29" s="138"/>
      <c r="F29" s="138"/>
      <c r="G29" s="138"/>
      <c r="H29" s="138"/>
      <c r="I29" s="138"/>
    </row>
    <row r="30" spans="1:35" ht="14">
      <c r="A30" s="151" t="s">
        <v>2158</v>
      </c>
      <c r="B30" s="151"/>
      <c r="C30" s="151"/>
      <c r="D30" s="151"/>
      <c r="E30" s="2915" t="s">
        <v>3030</v>
      </c>
      <c r="F30" s="138"/>
      <c r="G30" s="138"/>
      <c r="H30" s="138"/>
      <c r="I30" s="138"/>
    </row>
    <row r="31" spans="1:35" s="2444" customFormat="1" ht="14.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4.5" thickBot="1">
      <c r="A32" s="2445" t="s">
        <v>2159</v>
      </c>
      <c r="B32" s="2446"/>
      <c r="C32" s="153">
        <f ca="1">IF(D32="总价",G19-C24,G20-C25)</f>
        <v>182092</v>
      </c>
      <c r="D32" s="2447" t="s">
        <v>2160</v>
      </c>
      <c r="E32" s="138"/>
      <c r="F32" s="138"/>
      <c r="G32" s="138"/>
      <c r="H32" s="138"/>
      <c r="I32" s="138"/>
    </row>
    <row r="33" spans="1:15" ht="14">
      <c r="A33" s="957" t="s">
        <v>2161</v>
      </c>
      <c r="B33" s="2448"/>
      <c r="C33" s="2449" t="s">
        <v>4726</v>
      </c>
      <c r="D33" s="2450" t="s">
        <v>4596</v>
      </c>
      <c r="E33" s="2451" t="s">
        <v>2162</v>
      </c>
      <c r="F33" s="2452" t="str">
        <f>IF(D32="楼面单价","取值（单价）","取值（总价）")</f>
        <v>取值（总价）</v>
      </c>
      <c r="G33" s="138"/>
      <c r="H33" s="138"/>
      <c r="I33" s="138"/>
    </row>
    <row r="34" spans="1:15" ht="14">
      <c r="A34" s="2453"/>
      <c r="B34" s="2454" t="s">
        <v>2163</v>
      </c>
      <c r="C34" s="157">
        <f ca="1">IF(C33="自定义",F34,C32-C35)</f>
        <v>107434</v>
      </c>
      <c r="D34" s="1055">
        <f ca="1">IF(C33="自定义",ROUND(C34/C32,3),IF(C33="收益比率",SUMIF(INDIRECT("'"&amp;D33&amp;"'"&amp;"!b:b"),"土地收益比率",INDIRECT("'"&amp;D33&amp;"'"&amp;"!c:c")),SUMIF(INDIRECT("'"&amp;D33&amp;"'"&amp;"!b:b"),"土地成本比率",INDIRECT("'"&amp;D33&amp;"'"&amp;"!c:c"))))</f>
        <v>0.59000000000000008</v>
      </c>
      <c r="E34" s="2455" t="s">
        <v>2164</v>
      </c>
      <c r="F34" s="1735"/>
      <c r="G34" s="138"/>
      <c r="H34" s="138"/>
      <c r="I34" s="138"/>
    </row>
    <row r="35" spans="1:15" ht="14.5" thickBot="1">
      <c r="A35" s="2456"/>
      <c r="B35" s="2457" t="s">
        <v>2165</v>
      </c>
      <c r="C35" s="1441">
        <f ca="1">IF(C33="自定义",F35,ROUND(C32*D35,0))</f>
        <v>74658</v>
      </c>
      <c r="D35" s="1442">
        <f ca="1">IF(C33="自定义",ROUND(C35/C32,3),IF(C33="收益比率",SUMIF(INDIRECT("'"&amp;D33&amp;"'"&amp;"!b:b"),"建筑物收益比率",INDIRECT("'"&amp;D33&amp;"'"&amp;"!c:c")),SUMIF(INDIRECT("'"&amp;D33&amp;"'"&amp;"!b:b"),"建筑物成本比率",INDIRECT("'"&amp;D33&amp;"'"&amp;"!c:c"))))</f>
        <v>0.41</v>
      </c>
      <c r="E35" s="2458" t="s">
        <v>2166</v>
      </c>
      <c r="F35" s="163"/>
      <c r="G35" s="138"/>
      <c r="H35" s="138"/>
      <c r="I35" s="138"/>
    </row>
    <row r="36" spans="1:15" ht="14.5" thickBot="1">
      <c r="A36" s="3099" t="s">
        <v>2167</v>
      </c>
      <c r="B36" s="2459" t="s">
        <v>2168</v>
      </c>
      <c r="C36" s="154"/>
      <c r="D36" s="2460"/>
      <c r="E36" s="2461"/>
      <c r="F36" s="2462"/>
      <c r="G36" s="138"/>
      <c r="H36" s="138"/>
      <c r="I36" s="138"/>
    </row>
    <row r="37" spans="1:15" ht="14.5" thickBot="1">
      <c r="A37" s="3100"/>
      <c r="B37" s="2265" t="s">
        <v>2169</v>
      </c>
      <c r="C37" s="156"/>
      <c r="D37" s="1392"/>
      <c r="E37" s="1392"/>
      <c r="F37" s="2462"/>
      <c r="G37" s="138"/>
      <c r="H37" s="138"/>
      <c r="I37" s="138"/>
    </row>
    <row r="38" spans="1:15" ht="14.5" thickBot="1">
      <c r="A38" s="3101"/>
      <c r="B38" s="2463" t="s">
        <v>2170</v>
      </c>
      <c r="C38" s="727"/>
      <c r="D38" s="2464" t="s">
        <v>2171</v>
      </c>
      <c r="E38" s="1392"/>
      <c r="F38" s="2462"/>
      <c r="G38" s="138"/>
      <c r="H38" s="138"/>
      <c r="I38" s="138"/>
    </row>
    <row r="39" spans="1:15" ht="14">
      <c r="A39" s="2435" t="s">
        <v>2172</v>
      </c>
      <c r="B39" s="2465" t="s">
        <v>2173</v>
      </c>
      <c r="C39" s="2466" t="s">
        <v>2174</v>
      </c>
      <c r="D39" s="2466" t="s">
        <v>2175</v>
      </c>
      <c r="E39" s="2467" t="s">
        <v>2176</v>
      </c>
      <c r="F39" s="2462"/>
      <c r="G39" s="138"/>
      <c r="H39" s="138"/>
      <c r="I39" s="138"/>
    </row>
    <row r="40" spans="1:15" ht="14">
      <c r="A40" s="2468" t="s">
        <v>2177</v>
      </c>
      <c r="B40" s="158"/>
      <c r="C40" s="159"/>
      <c r="D40" s="159"/>
      <c r="E40" s="160"/>
      <c r="F40" s="2462"/>
      <c r="G40" s="138"/>
      <c r="H40" s="138"/>
      <c r="I40" s="138"/>
    </row>
    <row r="41" spans="1:15" ht="14">
      <c r="A41" s="2468" t="s">
        <v>2178</v>
      </c>
      <c r="B41" s="158"/>
      <c r="C41" s="159"/>
      <c r="D41" s="159"/>
      <c r="E41" s="160"/>
      <c r="F41" s="2462"/>
      <c r="G41" s="138"/>
      <c r="H41" s="138"/>
      <c r="I41" s="138"/>
    </row>
    <row r="42" spans="1:15" ht="14.5" thickBot="1">
      <c r="A42" s="2469"/>
      <c r="B42" s="161"/>
      <c r="C42" s="162"/>
      <c r="D42" s="162"/>
      <c r="E42" s="163"/>
      <c r="F42" s="2462"/>
      <c r="G42" s="138"/>
      <c r="H42" s="138"/>
      <c r="I42" s="138"/>
    </row>
    <row r="43" spans="1:15" ht="12.5">
      <c r="A43" s="2164"/>
      <c r="B43" s="2164"/>
      <c r="C43" s="2164"/>
      <c r="D43" s="2164"/>
      <c r="E43" s="2164"/>
      <c r="F43" s="2470"/>
      <c r="G43" s="2470"/>
      <c r="H43" s="2470"/>
      <c r="I43" s="2471"/>
    </row>
    <row r="44" spans="1:15" ht="18">
      <c r="A44" s="2472" t="s">
        <v>2179</v>
      </c>
      <c r="B44" s="2473"/>
      <c r="C44" s="2473"/>
      <c r="D44" s="2474"/>
      <c r="E44" s="2474"/>
      <c r="F44" s="2475"/>
      <c r="G44" s="2475"/>
      <c r="H44" s="2475"/>
      <c r="I44" s="2475"/>
      <c r="J44" s="2476" t="s">
        <v>2180</v>
      </c>
      <c r="K44" s="2477"/>
      <c r="L44" s="2477"/>
      <c r="M44" s="2477"/>
      <c r="N44" s="2477"/>
      <c r="O44" s="2477"/>
    </row>
    <row r="45" spans="1:15" ht="14.25" customHeight="1" thickBot="1">
      <c r="A45" s="3078" t="s">
        <v>2181</v>
      </c>
      <c r="B45" s="3079"/>
      <c r="C45" s="3080"/>
      <c r="D45" s="164">
        <f ca="1">ROUND(H101*F45,0)</f>
        <v>182092</v>
      </c>
      <c r="E45" s="165" t="s">
        <v>2182</v>
      </c>
      <c r="F45" s="166">
        <v>1</v>
      </c>
      <c r="G45" s="167" t="s">
        <v>2183</v>
      </c>
      <c r="H45" s="138"/>
      <c r="I45" s="138"/>
      <c r="J45" s="3138" t="s">
        <v>2184</v>
      </c>
      <c r="K45" s="3138"/>
      <c r="L45" s="3138"/>
      <c r="M45" s="3138"/>
      <c r="N45" s="3138"/>
      <c r="O45" s="3138"/>
    </row>
    <row r="46" spans="1:15" ht="14.25" customHeight="1">
      <c r="A46" s="3075" t="s">
        <v>2185</v>
      </c>
      <c r="B46" s="3076"/>
      <c r="C46" s="3076"/>
      <c r="D46" s="3076"/>
      <c r="E46" s="3076"/>
      <c r="F46" s="3076"/>
      <c r="G46" s="3077"/>
      <c r="H46" s="2478"/>
      <c r="I46" s="168"/>
      <c r="J46" s="1808">
        <v>1</v>
      </c>
      <c r="K46" s="3138" t="s">
        <v>2186</v>
      </c>
      <c r="L46" s="3138"/>
      <c r="M46" s="3158"/>
      <c r="N46" s="3158"/>
      <c r="O46" s="3158"/>
    </row>
    <row r="47" spans="1:15" ht="12" customHeight="1">
      <c r="A47" s="169" t="s">
        <v>2187</v>
      </c>
      <c r="B47" s="170"/>
      <c r="C47" s="171"/>
      <c r="D47" s="172" t="s">
        <v>2188</v>
      </c>
      <c r="E47" s="24" t="s">
        <v>2189</v>
      </c>
      <c r="F47" s="173" t="s">
        <v>2190</v>
      </c>
      <c r="G47" s="174" t="s">
        <v>2191</v>
      </c>
      <c r="H47" s="2478"/>
      <c r="I47" s="168"/>
      <c r="J47" s="1808">
        <v>2</v>
      </c>
      <c r="K47" s="3138" t="s">
        <v>2192</v>
      </c>
      <c r="L47" s="3138"/>
      <c r="M47" s="3159">
        <f>'数据-取费表'!B2</f>
        <v>43879</v>
      </c>
      <c r="N47" s="3159"/>
      <c r="O47" s="3159"/>
    </row>
    <row r="48" spans="1:15" ht="26">
      <c r="A48" s="3106" t="s">
        <v>2193</v>
      </c>
      <c r="B48" s="3089"/>
      <c r="C48" s="3089"/>
      <c r="D48" s="140">
        <f ca="1">IF(H48="情况1",0,IF(H48="情况2",D52,IF(H48="情况3",D53,IF(H48="情况4",D54))))</f>
        <v>9712</v>
      </c>
      <c r="E48" s="1797" t="str">
        <f>IF(H48="情况4","(销售额-原购置价)×税（费）率","销售额×税（费）率")</f>
        <v>销售额×税（费）率</v>
      </c>
      <c r="F48" s="175">
        <f>IF(H48="情况1","免征",'数据-取费表'!B41)</f>
        <v>5.6000000000000001E-2</v>
      </c>
      <c r="G48" s="2479" t="s">
        <v>2194</v>
      </c>
      <c r="H48" s="2480" t="s">
        <v>4725</v>
      </c>
      <c r="I48" s="2478"/>
      <c r="J48" s="1808">
        <v>3</v>
      </c>
      <c r="K48" s="3138" t="s">
        <v>2195</v>
      </c>
      <c r="L48" s="3138"/>
      <c r="M48" s="3160">
        <f ca="1">H101</f>
        <v>182092</v>
      </c>
      <c r="N48" s="3160"/>
      <c r="O48" s="3160"/>
    </row>
    <row r="49" spans="1:35" ht="25.5" customHeight="1">
      <c r="A49" s="176" t="s">
        <v>2196</v>
      </c>
      <c r="B49" s="3074" t="s">
        <v>2197</v>
      </c>
      <c r="C49" s="3074"/>
      <c r="D49" s="177">
        <v>0</v>
      </c>
      <c r="E49" s="23" t="s">
        <v>2198</v>
      </c>
      <c r="F49" s="28" t="s">
        <v>34</v>
      </c>
      <c r="G49" s="3144"/>
      <c r="H49" s="138"/>
      <c r="I49" s="2481"/>
      <c r="J49" s="1808">
        <v>4</v>
      </c>
      <c r="K49" s="3138" t="str">
        <f>IF(项目基本情况!E8="房地产抵押价值","房地产抵押价值","抵押担保权已注销时的房地产抵押价值")</f>
        <v>房地产抵押价值</v>
      </c>
      <c r="L49" s="3138"/>
      <c r="M49" s="3160">
        <f ca="1">IF(项目基本情况!E8="房地产抵押价值",H107,H109)</f>
        <v>182092</v>
      </c>
      <c r="N49" s="3160"/>
      <c r="O49" s="3160"/>
    </row>
    <row r="50" spans="1:35" ht="25.5" customHeight="1">
      <c r="A50" s="178"/>
      <c r="B50" s="3074" t="s">
        <v>2199</v>
      </c>
      <c r="C50" s="3074"/>
      <c r="D50" s="179"/>
      <c r="E50" s="31"/>
      <c r="F50" s="180"/>
      <c r="G50" s="3145"/>
      <c r="H50" s="138"/>
      <c r="I50" s="2481"/>
      <c r="J50" s="3138" t="s">
        <v>2200</v>
      </c>
      <c r="K50" s="3138"/>
      <c r="L50" s="3138"/>
      <c r="M50" s="3138"/>
      <c r="N50" s="3138"/>
      <c r="O50" s="3138"/>
    </row>
    <row r="51" spans="1:35" ht="12" customHeight="1">
      <c r="A51" s="181"/>
      <c r="B51" s="3074" t="s">
        <v>2201</v>
      </c>
      <c r="C51" s="3074"/>
      <c r="D51" s="182"/>
      <c r="E51" s="30"/>
      <c r="F51" s="180"/>
      <c r="G51" s="3146"/>
      <c r="H51" s="138"/>
      <c r="I51" s="2481"/>
      <c r="J51" s="2482" t="s">
        <v>2202</v>
      </c>
      <c r="K51" s="3138" t="s">
        <v>2203</v>
      </c>
      <c r="L51" s="3138"/>
      <c r="M51" s="2482" t="s">
        <v>2204</v>
      </c>
      <c r="N51" s="2482" t="s">
        <v>2205</v>
      </c>
      <c r="O51" s="2482" t="s">
        <v>2206</v>
      </c>
    </row>
    <row r="52" spans="1:35" ht="24" customHeight="1">
      <c r="A52" s="183" t="s">
        <v>2207</v>
      </c>
      <c r="B52" s="3074" t="s">
        <v>2208</v>
      </c>
      <c r="C52" s="3074"/>
      <c r="D52" s="182">
        <f ca="1">ROUND(D45*'数据-取费表'!B41/(1+'数据-取费表'!C42),0)</f>
        <v>9712</v>
      </c>
      <c r="E52" s="11" t="s">
        <v>2209</v>
      </c>
      <c r="F52" s="184">
        <f>'数据-取费表'!B41</f>
        <v>5.6000000000000001E-2</v>
      </c>
      <c r="G52" s="2483"/>
      <c r="H52" s="138"/>
      <c r="I52" s="2481"/>
      <c r="J52" s="1808">
        <v>1</v>
      </c>
      <c r="K52" s="3139" t="s">
        <v>2210</v>
      </c>
      <c r="L52" s="3139"/>
      <c r="M52" s="1750">
        <f ca="1">D48</f>
        <v>9712</v>
      </c>
      <c r="N52" s="1808" t="str">
        <f>E48</f>
        <v>销售额×税（费）率</v>
      </c>
      <c r="O52" s="1751">
        <f>F48</f>
        <v>5.6000000000000001E-2</v>
      </c>
    </row>
    <row r="53" spans="1:35" ht="12" customHeight="1">
      <c r="A53" s="183" t="s">
        <v>2211</v>
      </c>
      <c r="B53" s="3097" t="s">
        <v>2212</v>
      </c>
      <c r="C53" s="3098"/>
      <c r="D53" s="182">
        <f ca="1">ROUND(D45*'数据-取费表'!B41/(1+'数据-取费表'!C42),0)</f>
        <v>9712</v>
      </c>
      <c r="E53" s="11" t="s">
        <v>2209</v>
      </c>
      <c r="F53" s="184">
        <f>'数据-取费表'!B41</f>
        <v>5.6000000000000001E-2</v>
      </c>
      <c r="G53" s="2483"/>
      <c r="H53" s="138"/>
      <c r="I53" s="2481"/>
      <c r="J53" s="1808">
        <v>2</v>
      </c>
      <c r="K53" s="3139" t="s">
        <v>2213</v>
      </c>
      <c r="L53" s="3139"/>
      <c r="M53" s="1750">
        <f t="shared" ref="M53:O54" ca="1" si="0">D55</f>
        <v>91</v>
      </c>
      <c r="N53" s="1808" t="str">
        <f t="shared" si="0"/>
        <v>销售额×税（费）率</v>
      </c>
      <c r="O53" s="1751">
        <f t="shared" si="0"/>
        <v>5.0000000000000001E-4</v>
      </c>
    </row>
    <row r="54" spans="1:35" ht="12" customHeight="1">
      <c r="A54" s="183" t="s">
        <v>2214</v>
      </c>
      <c r="B54" s="3097" t="s">
        <v>2215</v>
      </c>
      <c r="C54" s="3098"/>
      <c r="D54" s="182">
        <f ca="1">C68</f>
        <v>9712</v>
      </c>
      <c r="E54" s="30" t="s">
        <v>2216</v>
      </c>
      <c r="F54" s="184">
        <f>'数据-取费表'!B41</f>
        <v>5.6000000000000001E-2</v>
      </c>
      <c r="G54" s="2483"/>
      <c r="H54" s="2484"/>
      <c r="I54" s="2481"/>
      <c r="J54" s="1808">
        <v>3</v>
      </c>
      <c r="K54" s="3139" t="s">
        <v>2217</v>
      </c>
      <c r="L54" s="3139"/>
      <c r="M54" s="1750">
        <f t="shared" ca="1" si="0"/>
        <v>31469</v>
      </c>
      <c r="N54" s="1808" t="str">
        <f t="shared" si="0"/>
        <v>增值额×税（费）率</v>
      </c>
      <c r="O54" s="1752" t="str">
        <f t="shared" si="0"/>
        <v>——</v>
      </c>
    </row>
    <row r="55" spans="1:35" ht="24" customHeight="1">
      <c r="A55" s="3088" t="s">
        <v>2218</v>
      </c>
      <c r="B55" s="3089"/>
      <c r="C55" s="3089"/>
      <c r="D55" s="185">
        <f ca="1">IF(H55="个人住宅",0,ROUND(D45*I55,0))</f>
        <v>91</v>
      </c>
      <c r="E55" s="11" t="s">
        <v>2219</v>
      </c>
      <c r="F55" s="184">
        <f>IF(H55="正常",I55,"免征")</f>
        <v>5.0000000000000001E-4</v>
      </c>
      <c r="G55" s="2483"/>
      <c r="H55" s="2480" t="s">
        <v>2220</v>
      </c>
      <c r="I55" s="186">
        <f>'数据-取费表'!B49</f>
        <v>5.0000000000000001E-4</v>
      </c>
      <c r="J55" s="1808" t="str">
        <f>IF(H59="非个人房产","",4)</f>
        <v/>
      </c>
      <c r="K55" s="3139" t="str">
        <f>IF(H59="非个人房产","——","个人所得税")</f>
        <v>——</v>
      </c>
      <c r="L55" s="3139"/>
      <c r="M55" s="1753" t="str">
        <f>D59</f>
        <v>——</v>
      </c>
      <c r="N55" s="1806" t="str">
        <f>E59</f>
        <v>——</v>
      </c>
      <c r="O55" s="1754" t="str">
        <f>F59</f>
        <v>——</v>
      </c>
    </row>
    <row r="56" spans="1:35" ht="26">
      <c r="A56" s="3088" t="s">
        <v>2221</v>
      </c>
      <c r="B56" s="3089"/>
      <c r="C56" s="3089"/>
      <c r="D56" s="185">
        <f ca="1">IF(H56="个人住宅",D57,D58)</f>
        <v>31469</v>
      </c>
      <c r="E56" s="11" t="s">
        <v>2222</v>
      </c>
      <c r="F56" s="184" t="str">
        <f>IF(H56="正常",F58,"免征")</f>
        <v>——</v>
      </c>
      <c r="G56" s="2485" t="s">
        <v>2223</v>
      </c>
      <c r="H56" s="2486" t="s">
        <v>2220</v>
      </c>
      <c r="I56" s="2487"/>
      <c r="J56" s="1808" t="str">
        <f>IF(项目基本情况!K6="上海银行",IF(J55="",4,J55+1),"")</f>
        <v/>
      </c>
      <c r="K56" s="3162" t="str">
        <f>IF(项目基本情况!K6="上海银行","其他处置费用","")</f>
        <v/>
      </c>
      <c r="L56" s="3163"/>
      <c r="M56" s="1750" t="str">
        <f>IF(项目基本情况!K6="上海银行",M69,"")</f>
        <v/>
      </c>
      <c r="N56" s="3165" t="str">
        <f>IF(项目基本情况!K6="上海银行","包含处置中涉及的律师、诉讼、拍卖、评估等费用","")</f>
        <v/>
      </c>
      <c r="O56" s="3166"/>
    </row>
    <row r="57" spans="1:35" ht="13">
      <c r="A57" s="183" t="s">
        <v>2196</v>
      </c>
      <c r="B57" s="3104" t="s">
        <v>2224</v>
      </c>
      <c r="C57" s="3113"/>
      <c r="D57" s="187">
        <v>0</v>
      </c>
      <c r="E57" s="23" t="s">
        <v>2198</v>
      </c>
      <c r="F57" s="155"/>
      <c r="G57" s="2483"/>
      <c r="H57" s="2487"/>
      <c r="I57" s="2487"/>
      <c r="J57" s="3139">
        <f>IF(AND(J55="",J56=""),4,IF(项目基本情况!K6="上海银行",结果表!J56+1,结果表!J55+1))</f>
        <v>4</v>
      </c>
      <c r="K57" s="3139" t="s">
        <v>2225</v>
      </c>
      <c r="L57" s="2488" t="s">
        <v>2226</v>
      </c>
      <c r="M57" s="1755"/>
      <c r="N57" s="1756">
        <f ca="1">SUMIF(M52:M56,"&lt;9e307")</f>
        <v>41272</v>
      </c>
      <c r="O57" s="2489"/>
      <c r="P57" s="1749">
        <f ca="1">N57/M49</f>
        <v>0.2266546580849241</v>
      </c>
    </row>
    <row r="58" spans="1:35" ht="26">
      <c r="A58" s="183" t="s">
        <v>2207</v>
      </c>
      <c r="B58" s="3104" t="s">
        <v>2227</v>
      </c>
      <c r="C58" s="3105"/>
      <c r="D58" s="185">
        <f ca="1">IF(H58="转让取得",C81,C97)</f>
        <v>31469</v>
      </c>
      <c r="E58" s="11" t="s">
        <v>2222</v>
      </c>
      <c r="F58" s="24" t="s">
        <v>34</v>
      </c>
      <c r="G58" s="2483"/>
      <c r="H58" s="2486" t="s">
        <v>2228</v>
      </c>
      <c r="I58" s="2487"/>
      <c r="J58" s="3139"/>
      <c r="K58" s="3139"/>
      <c r="L58" s="2488" t="s">
        <v>2229</v>
      </c>
      <c r="M58" s="1757"/>
      <c r="N58" s="2490" t="str">
        <f ca="1">NUMBERSTRING(INT(N57*10000),2)&amp;"元整"</f>
        <v>肆亿壹仟贰佰柒拾贰万元整</v>
      </c>
      <c r="O58" s="2491"/>
    </row>
    <row r="59" spans="1:35" ht="26.5" thickBot="1">
      <c r="A59" s="3142" t="s">
        <v>2230</v>
      </c>
      <c r="B59" s="3143"/>
      <c r="C59" s="3143"/>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40">
        <f>J57+1</f>
        <v>5</v>
      </c>
      <c r="K59" s="3139" t="s">
        <v>2232</v>
      </c>
      <c r="L59" s="1808" t="s">
        <v>2226</v>
      </c>
      <c r="M59" s="1758"/>
      <c r="N59" s="1759">
        <f ca="1">M49-N57</f>
        <v>140820</v>
      </c>
      <c r="O59" s="2493"/>
    </row>
    <row r="60" spans="1:35" ht="12" customHeight="1">
      <c r="A60" s="2494"/>
      <c r="B60" s="2416"/>
      <c r="C60" s="2416"/>
      <c r="D60" s="2416"/>
      <c r="E60" s="2165"/>
      <c r="F60" s="2487"/>
      <c r="G60" s="2487"/>
      <c r="H60" s="2495"/>
      <c r="I60" s="138"/>
      <c r="J60" s="3141"/>
      <c r="K60" s="3139"/>
      <c r="L60" s="2488" t="s">
        <v>2229</v>
      </c>
      <c r="M60" s="1757"/>
      <c r="N60" s="2490" t="str">
        <f ca="1">NUMBERSTRING(INT(N59*10000),2)&amp;"元整"</f>
        <v>壹拾肆亿零捌佰贰拾万元整</v>
      </c>
      <c r="O60" s="2491"/>
    </row>
    <row r="61" spans="1:35" ht="13.5" thickBot="1">
      <c r="A61" s="3086" t="s">
        <v>2233</v>
      </c>
      <c r="B61" s="3086"/>
      <c r="C61" s="3086"/>
      <c r="D61" s="3086"/>
      <c r="E61" s="3086"/>
      <c r="F61" s="2487"/>
      <c r="G61" s="2487"/>
      <c r="H61" s="2495"/>
      <c r="I61" s="138"/>
      <c r="J61" s="1808">
        <f>J59+1</f>
        <v>6</v>
      </c>
      <c r="K61" s="3139" t="s">
        <v>2234</v>
      </c>
      <c r="L61" s="3139"/>
      <c r="M61" s="1760"/>
      <c r="N61" s="1761">
        <f ca="1">ROUND(N59*10000/'数据-汇总表'!E3,0)</f>
        <v>11050</v>
      </c>
      <c r="O61" s="2496"/>
    </row>
    <row r="62" spans="1:35" ht="13">
      <c r="A62" s="3102" t="s">
        <v>2235</v>
      </c>
      <c r="B62" s="3103"/>
      <c r="C62" s="1800"/>
      <c r="D62" s="1800" t="s">
        <v>2236</v>
      </c>
      <c r="E62" s="192" t="s">
        <v>2237</v>
      </c>
      <c r="F62" s="2487"/>
      <c r="G62" s="2487"/>
      <c r="H62" s="2495"/>
      <c r="I62" s="138"/>
    </row>
    <row r="63" spans="1:35" ht="13">
      <c r="A63" s="203" t="s">
        <v>775</v>
      </c>
      <c r="B63" s="193" t="s">
        <v>2238</v>
      </c>
      <c r="C63" s="194">
        <f ca="1">ROUND((C64+C65)/(1+'数据-取费表'!C42),0)</f>
        <v>173421</v>
      </c>
      <c r="D63" s="195"/>
      <c r="E63" s="196"/>
      <c r="F63" s="2487"/>
      <c r="G63" s="2487"/>
      <c r="H63" s="2495"/>
      <c r="I63" s="138"/>
      <c r="J63" s="3164" t="s">
        <v>2239</v>
      </c>
      <c r="K63" s="2497" t="s">
        <v>2240</v>
      </c>
      <c r="L63" s="1748">
        <f ca="1">IF(M49&gt;10000,M49*0.5%,IF(AND(M49&gt;1000,M49&lt;=10000),M49*1%,IF(AND(M49&gt;100,M49&lt;=1000),M49*3%,IF(AND(M49&gt;10,M49&lt;=100),M49*5%,M49*8%))))</f>
        <v>910.46</v>
      </c>
      <c r="M63" s="24">
        <f ca="1">ROUND(L63,1)</f>
        <v>910.5</v>
      </c>
      <c r="Z63" s="2421"/>
      <c r="AI63" s="2422"/>
    </row>
    <row r="64" spans="1:35" ht="14.25" customHeight="1">
      <c r="A64" s="197" t="s">
        <v>770</v>
      </c>
      <c r="B64" s="198" t="s">
        <v>2241</v>
      </c>
      <c r="C64" s="199">
        <f ca="1">D45</f>
        <v>182092</v>
      </c>
      <c r="D64" s="200" t="s">
        <v>32</v>
      </c>
      <c r="E64" s="201"/>
      <c r="F64" s="2487"/>
      <c r="G64" s="2487"/>
      <c r="H64" s="2495"/>
      <c r="I64" s="138"/>
      <c r="J64" s="3164"/>
      <c r="K64" s="2497" t="s">
        <v>2242</v>
      </c>
      <c r="L64" s="1748">
        <f ca="1">IF(M49&gt;2000,M49*0.5%,IF(AND(M49&gt;1000,M49&lt;=2000),M49*0.6%,IF(AND(M49&gt;500,M49&lt;=1000),M49*0.7%,IF(AND(M49&gt;200,M49&lt;=500),M49*0.8%,IF(AND(M49&gt;100,M49&lt;=200),M49*0.9%,IF(AND(M49&gt;50,M49&lt;=100),M49*1%,IF(AND(M49&gt;20,M49&lt;=50),M49*1.5%,IF(AND(M49&gt;10,M49&lt;=20),M49*2%,IF(AND(M49&gt;1,M49&lt;=10),M49*2.5%)))))))))</f>
        <v>910.46</v>
      </c>
      <c r="M64" s="24">
        <f ca="1">ROUND(L64,1)</f>
        <v>910.5</v>
      </c>
      <c r="N64" s="138" t="s">
        <v>2243</v>
      </c>
      <c r="Z64" s="2421"/>
      <c r="AI64" s="2422"/>
    </row>
    <row r="65" spans="1:35" ht="14.25" customHeight="1">
      <c r="A65" s="197" t="s">
        <v>771</v>
      </c>
      <c r="B65" s="198" t="s">
        <v>2244</v>
      </c>
      <c r="C65" s="202"/>
      <c r="D65" s="200"/>
      <c r="E65" s="201"/>
      <c r="F65" s="2487"/>
      <c r="G65" s="2487"/>
      <c r="H65" s="2495"/>
      <c r="I65" s="138"/>
      <c r="J65" s="3164"/>
      <c r="K65" s="2497" t="s">
        <v>2245</v>
      </c>
      <c r="L65" s="1748">
        <f ca="1">IF(M49&gt;1000,M49*0.1%,IF(AND(M49&gt;500,M49&lt;=1000),M49*0.5%,IF(AND(M49&gt;50,M49&lt;=500),M49*1%,IF(AND(M49&gt;1,M49&lt;=50),M49*1.5%))))</f>
        <v>182.09200000000001</v>
      </c>
      <c r="M65" s="24">
        <f ca="1">ROUND(L65,1)</f>
        <v>182.1</v>
      </c>
      <c r="N65" s="138" t="s">
        <v>2243</v>
      </c>
      <c r="Z65" s="2421"/>
      <c r="AI65" s="2422"/>
    </row>
    <row r="66" spans="1:35" ht="14.25" customHeight="1">
      <c r="A66" s="203" t="s">
        <v>772</v>
      </c>
      <c r="B66" s="204" t="s">
        <v>2246</v>
      </c>
      <c r="C66" s="205"/>
      <c r="D66" s="206" t="s">
        <v>32</v>
      </c>
      <c r="E66" s="1772" t="s">
        <v>1366</v>
      </c>
      <c r="F66" s="2487"/>
      <c r="G66" s="2487"/>
      <c r="H66" s="2495"/>
      <c r="I66" s="138"/>
      <c r="J66" s="3164"/>
      <c r="K66" s="2497" t="s">
        <v>2247</v>
      </c>
      <c r="L66" s="1748">
        <f ca="1">M49*0.5%</f>
        <v>910.46</v>
      </c>
      <c r="M66" s="24">
        <f ca="1">IF(L66&gt;0.5,0.5,ROUND(L66,0))</f>
        <v>0.5</v>
      </c>
      <c r="N66" s="138" t="s">
        <v>2248</v>
      </c>
      <c r="Z66" s="2421"/>
      <c r="AI66" s="2422"/>
    </row>
    <row r="67" spans="1:35" ht="14.25" customHeight="1">
      <c r="A67" s="203" t="s">
        <v>773</v>
      </c>
      <c r="B67" s="204" t="s">
        <v>2249</v>
      </c>
      <c r="C67" s="207">
        <f ca="1">C63-C66</f>
        <v>173421</v>
      </c>
      <c r="D67" s="200" t="s">
        <v>32</v>
      </c>
      <c r="E67" s="201"/>
      <c r="F67" s="2487"/>
      <c r="G67" s="2487"/>
      <c r="H67" s="2495"/>
      <c r="I67" s="138"/>
      <c r="J67" s="3164"/>
      <c r="K67" s="2497" t="s">
        <v>2250</v>
      </c>
      <c r="L67" s="1748">
        <f ca="1">IF(M49&gt;=10000,(8.25+(M49-10000)*0.01%),IF(AND(M49&gt;=8000,M49&lt;10000),(7.85+(M49-8000)*0.02%),IF(AND(M49&gt;=5000,M49&lt;8000),(6.65+(M49-5000)*0.04%),IF(AND(M49&gt;=2000,M49&lt;5000),(4.25+(PM49-2000)*0.08%),IF(AND(M49&gt;=1000,M49&lt;2000),(2.75+(M49-1000)*0.15%),IF(AND(M49&gt;=100,M49&lt;1000),(0.5+(M49-100)*0.25%),IF(AND(M49&gt;0,M49&lt;100),M49*0.5%)))))))</f>
        <v>25.459199999999999</v>
      </c>
      <c r="M67" s="24">
        <f ca="1">ROUND(L67*0.9,1)</f>
        <v>22.9</v>
      </c>
      <c r="Z67" s="2421"/>
      <c r="AI67" s="2422"/>
    </row>
    <row r="68" spans="1:35" ht="14.25" customHeight="1" thickBot="1">
      <c r="A68" s="208" t="s">
        <v>774</v>
      </c>
      <c r="B68" s="209" t="s">
        <v>2251</v>
      </c>
      <c r="C68" s="210">
        <f ca="1">IF(C67&lt;=0,0,ROUND(C67*D68,0))</f>
        <v>9712</v>
      </c>
      <c r="D68" s="211">
        <f>'数据-取费表'!B41</f>
        <v>5.6000000000000001E-2</v>
      </c>
      <c r="E68" s="212"/>
      <c r="F68" s="2487"/>
      <c r="G68" s="2487"/>
      <c r="H68" s="2495"/>
      <c r="I68" s="138"/>
      <c r="J68" s="3164"/>
      <c r="K68" s="2497" t="s">
        <v>2252</v>
      </c>
      <c r="L68" s="1748">
        <f ca="1">IF(M49&gt;10000,M49*0.5%,IF(AND(M49&gt;5000,M49&lt;=10000),M49*1%,IF(AND(M49&gt;1000,M49&lt;=5000),M49*2%,IF(AND(M49&gt;200,M49&lt;=1000),M49*3%,M49*5%))))</f>
        <v>910.46</v>
      </c>
      <c r="M68" s="24">
        <f ca="1">ROUND(L68,1)</f>
        <v>910.5</v>
      </c>
      <c r="Z68" s="2421"/>
      <c r="AI68" s="2422"/>
    </row>
    <row r="69" spans="1:35" s="2444" customFormat="1" ht="16.5" customHeight="1">
      <c r="A69" s="2498"/>
      <c r="B69" s="2499"/>
      <c r="C69" s="2500"/>
      <c r="D69" s="2501"/>
      <c r="E69" s="2502"/>
      <c r="F69" s="2165"/>
      <c r="G69" s="2165"/>
      <c r="H69" s="2164"/>
      <c r="I69" s="2416"/>
      <c r="J69" s="3164"/>
      <c r="K69" s="2497" t="s">
        <v>2253</v>
      </c>
      <c r="L69" s="2503"/>
      <c r="M69" s="24">
        <f ca="1">ROUND(SUM(M63:M68),0)</f>
        <v>2937</v>
      </c>
      <c r="N69" s="1749">
        <f ca="1">M69/M49</f>
        <v>1.6129209410627596E-2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4.5" thickBot="1">
      <c r="A70" s="3123" t="s">
        <v>2254</v>
      </c>
      <c r="B70" s="3124"/>
      <c r="C70" s="3124"/>
      <c r="D70" s="3124"/>
      <c r="E70" s="3124"/>
      <c r="F70" s="3124"/>
      <c r="G70" s="3124"/>
      <c r="H70" s="312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
      <c r="A71" s="3102" t="s">
        <v>2235</v>
      </c>
      <c r="B71" s="3103"/>
      <c r="C71" s="1800"/>
      <c r="D71" s="1800"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
      <c r="A72" s="203" t="s">
        <v>775</v>
      </c>
      <c r="B72" s="204" t="s">
        <v>2255</v>
      </c>
      <c r="C72" s="207">
        <f ca="1">ROUND(D45/(1+'数据-取费表'!C42),0)</f>
        <v>173421</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
      <c r="A73" s="203" t="s">
        <v>772</v>
      </c>
      <c r="B73" s="173" t="s">
        <v>2256</v>
      </c>
      <c r="C73" s="207">
        <f ca="1">C74+C78</f>
        <v>1041</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6">
      <c r="A74" s="217" t="s">
        <v>770</v>
      </c>
      <c r="B74" s="198" t="s">
        <v>2257</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097" t="s">
        <v>2263</v>
      </c>
      <c r="F76" s="3074"/>
      <c r="G76" s="3074"/>
      <c r="H76" s="312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1041</v>
      </c>
      <c r="D78" s="226">
        <f>'数据-取费表'!B43</f>
        <v>6.000000000000001E-3</v>
      </c>
      <c r="E78" s="3083" t="s">
        <v>2268</v>
      </c>
      <c r="F78" s="3084"/>
      <c r="G78" s="3084"/>
      <c r="H78" s="309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
      <c r="A79" s="2513" t="s">
        <v>779</v>
      </c>
      <c r="B79" s="204" t="s">
        <v>2269</v>
      </c>
      <c r="C79" s="207">
        <f ca="1">C72-C73</f>
        <v>172380</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6">
      <c r="A80" s="2513" t="s">
        <v>780</v>
      </c>
      <c r="B80" s="204" t="s">
        <v>2270</v>
      </c>
      <c r="C80" s="227">
        <f ca="1">IF(C79&lt;=0,0,C79/C73)</f>
        <v>165.59077809798271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6.5" thickBot="1">
      <c r="A81" s="2514" t="s">
        <v>781</v>
      </c>
      <c r="B81" s="209" t="s">
        <v>2271</v>
      </c>
      <c r="C81" s="228">
        <f ca="1">ROUND(IF(C79&lt;=0,0,IF(C80&gt;=200%,C79*60%-C73*35%,IF(C80&gt;=100%,C79*50%-C73*15%,IF(C80&gt;=50%,C79*40%-C73*5%,IF(C80&lt;50%,C79*30%,0))))),0)</f>
        <v>103064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4.5" thickBot="1">
      <c r="A83" s="3123" t="s">
        <v>2272</v>
      </c>
      <c r="B83" s="3124"/>
      <c r="C83" s="3124"/>
      <c r="D83" s="3124"/>
      <c r="E83" s="3124"/>
      <c r="F83" s="3124"/>
      <c r="G83" s="3124"/>
      <c r="H83" s="312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
      <c r="A84" s="3102" t="s">
        <v>2235</v>
      </c>
      <c r="B84" s="3103"/>
      <c r="C84" s="1800"/>
      <c r="D84" s="1800"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
      <c r="A85" s="203" t="s">
        <v>775</v>
      </c>
      <c r="B85" s="204" t="s">
        <v>2255</v>
      </c>
      <c r="C85" s="207">
        <f ca="1">ROUND(D45/(1+'数据-取费表'!C42),0)</f>
        <v>173421</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
      <c r="A86" s="203" t="s">
        <v>772</v>
      </c>
      <c r="B86" s="173" t="s">
        <v>2256</v>
      </c>
      <c r="C86" s="207">
        <f ca="1">IF(H88="仅含出让金",C87+C90+C91+C92+C93+C94,C87+C91+C92+C93+C94)</f>
        <v>84986.733323858454</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
      <c r="A87" s="217" t="s">
        <v>770</v>
      </c>
      <c r="B87" s="198" t="s">
        <v>2273</v>
      </c>
      <c r="C87" s="225">
        <f>C88+C89</f>
        <v>28061.733323858458</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
      <c r="A88" s="217" t="s">
        <v>776</v>
      </c>
      <c r="B88" s="198" t="s">
        <v>2274</v>
      </c>
      <c r="C88" s="236">
        <f>(4376.46+50819.773)/('数据-基础表'!A3*3)*项目基本情况!C17</f>
        <v>27230.733323858458</v>
      </c>
      <c r="D88" s="226"/>
      <c r="E88" s="237" t="s">
        <v>2275</v>
      </c>
      <c r="F88" s="1796"/>
      <c r="G88" s="238" t="s">
        <v>2276</v>
      </c>
      <c r="H88" s="2515" t="s">
        <v>4727</v>
      </c>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
      <c r="A89" s="217" t="s">
        <v>777</v>
      </c>
      <c r="B89" s="198" t="s">
        <v>2264</v>
      </c>
      <c r="C89" s="225">
        <f>ROUND(C88*D89,0)</f>
        <v>831</v>
      </c>
      <c r="D89" s="226">
        <f>'数据-取费表'!B48+'数据-取费表'!B49</f>
        <v>3.0499999999999999E-2</v>
      </c>
      <c r="E89" s="237" t="s">
        <v>2277</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
      <c r="A90" s="217" t="s">
        <v>771</v>
      </c>
      <c r="B90" s="198" t="s">
        <v>2278</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 ca="1">IF(H91="——",成本法!C33,I91)</f>
        <v>36512</v>
      </c>
      <c r="D91" s="226"/>
      <c r="E91" s="3083" t="s">
        <v>2281</v>
      </c>
      <c r="F91" s="3084"/>
      <c r="G91" s="3084"/>
      <c r="H91" s="2516" t="s">
        <v>70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2282</v>
      </c>
      <c r="B92" s="198" t="s">
        <v>2283</v>
      </c>
      <c r="C92" s="225">
        <f ca="1">ROUND((C87+C90+C91)*D92,0)</f>
        <v>6457</v>
      </c>
      <c r="D92" s="226">
        <v>0.1</v>
      </c>
      <c r="E92" s="3083" t="s">
        <v>2284</v>
      </c>
      <c r="F92" s="3084"/>
      <c r="G92" s="3084"/>
      <c r="H92" s="309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2285</v>
      </c>
      <c r="B93" s="198" t="s">
        <v>2267</v>
      </c>
      <c r="C93" s="225">
        <f ca="1">ROUND(D45*D93/(1+'数据-取费表'!C42),0)</f>
        <v>1041</v>
      </c>
      <c r="D93" s="226">
        <f>'数据-取费表'!B43</f>
        <v>6.000000000000001E-3</v>
      </c>
      <c r="E93" s="3083" t="s">
        <v>2268</v>
      </c>
      <c r="F93" s="3084"/>
      <c r="G93" s="3084"/>
      <c r="H93" s="309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2286</v>
      </c>
      <c r="B94" s="198" t="s">
        <v>2287</v>
      </c>
      <c r="C94" s="236">
        <f ca="1">ROUND((C87+C90+C91)*D94,0)</f>
        <v>12915</v>
      </c>
      <c r="D94" s="226">
        <v>0.2</v>
      </c>
      <c r="E94" s="3094" t="s">
        <v>2288</v>
      </c>
      <c r="F94" s="3095"/>
      <c r="G94" s="3095"/>
      <c r="H94" s="309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
      <c r="A95" s="2513" t="s">
        <v>779</v>
      </c>
      <c r="B95" s="204" t="s">
        <v>2269</v>
      </c>
      <c r="C95" s="207">
        <f ca="1">ROUND(C85-C86,0)</f>
        <v>88434</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6">
      <c r="A96" s="2513" t="s">
        <v>780</v>
      </c>
      <c r="B96" s="204" t="s">
        <v>2270</v>
      </c>
      <c r="C96" s="227">
        <f ca="1">IF(C95&lt;=0,0,C95/C86)</f>
        <v>1.0405624094646051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6.5" thickBot="1">
      <c r="A97" s="2514" t="s">
        <v>781</v>
      </c>
      <c r="B97" s="209" t="s">
        <v>2271</v>
      </c>
      <c r="C97" s="228">
        <f ca="1">ROUND(IF(C95&lt;=0,0,IF(C96&gt;=200%,C95*60%-C86*35%,IF(C96&gt;=100%,C95*50%-C86*15%,IF(C96&gt;=50%,C95*40%-C86*5%,IF(C96&lt;50%,C95*30%,0))))),0)</f>
        <v>31469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2289</v>
      </c>
      <c r="B99" s="2416"/>
      <c r="C99" s="2416"/>
      <c r="D99" s="2416"/>
      <c r="E99" s="2165"/>
      <c r="F99" s="2165"/>
      <c r="G99" s="2165"/>
      <c r="H99" s="2164"/>
      <c r="I99" s="138"/>
    </row>
    <row r="100" spans="1:35" ht="18.75" customHeight="1">
      <c r="A100" s="3068" t="s">
        <v>2290</v>
      </c>
      <c r="B100" s="3069"/>
      <c r="C100" s="3069"/>
      <c r="D100" s="3085"/>
      <c r="E100" s="3069" t="s">
        <v>2291</v>
      </c>
      <c r="F100" s="3069"/>
      <c r="G100" s="3069"/>
      <c r="H100" s="3085"/>
      <c r="I100" s="138"/>
    </row>
    <row r="101" spans="1:35" ht="18.75" customHeight="1">
      <c r="A101" s="3147" t="s">
        <v>2292</v>
      </c>
      <c r="B101" s="3148"/>
      <c r="C101" s="736" t="str">
        <f>C4</f>
        <v>成本法</v>
      </c>
      <c r="D101" s="737" t="str">
        <f>D4</f>
        <v>假设开发法</v>
      </c>
      <c r="E101" s="3161" t="s">
        <v>2293</v>
      </c>
      <c r="F101" s="3115"/>
      <c r="G101" s="2518" t="s">
        <v>2294</v>
      </c>
      <c r="H101" s="1045">
        <f ca="1">H118</f>
        <v>182092</v>
      </c>
      <c r="I101" s="138"/>
    </row>
    <row r="102" spans="1:35" ht="18.75" customHeight="1">
      <c r="A102" s="3117" t="s">
        <v>2295</v>
      </c>
      <c r="B102" s="2518" t="s">
        <v>2294</v>
      </c>
      <c r="C102" s="736">
        <f ca="1">C19</f>
        <v>119927</v>
      </c>
      <c r="D102" s="737">
        <f ca="1">D19</f>
        <v>223535</v>
      </c>
      <c r="E102" s="3161"/>
      <c r="F102" s="3115"/>
      <c r="G102" s="2518" t="s">
        <v>2296</v>
      </c>
      <c r="H102" s="371">
        <f ca="1">I118</f>
        <v>14288</v>
      </c>
      <c r="I102" s="138"/>
    </row>
    <row r="103" spans="1:35" ht="42.75" customHeight="1">
      <c r="A103" s="3117"/>
      <c r="B103" s="2518" t="s">
        <v>2296</v>
      </c>
      <c r="C103" s="738">
        <f ca="1">C20</f>
        <v>9410</v>
      </c>
      <c r="D103" s="739">
        <f ca="1">D20</f>
        <v>17540</v>
      </c>
      <c r="E103" s="3156" t="s">
        <v>2297</v>
      </c>
      <c r="F103" s="3157"/>
      <c r="G103" s="2519" t="s">
        <v>2298</v>
      </c>
      <c r="H103" s="1045">
        <f>IF(D36="正常操作",H104+H105+H106,H105+H106)</f>
        <v>0</v>
      </c>
      <c r="I103" s="138"/>
    </row>
    <row r="104" spans="1:35" ht="18.75" customHeight="1">
      <c r="A104" s="3117" t="s">
        <v>2299</v>
      </c>
      <c r="B104" s="2520" t="s">
        <v>2294</v>
      </c>
      <c r="C104" s="740">
        <f ca="1">H118</f>
        <v>182092</v>
      </c>
      <c r="D104" s="741"/>
      <c r="E104" s="2265" t="s">
        <v>2300</v>
      </c>
      <c r="F104" s="2257"/>
      <c r="G104" s="2519" t="s">
        <v>2298</v>
      </c>
      <c r="H104" s="1046">
        <f>IF(D36="同一抵押权人同一抵押物续贷",C36&amp;"（未扣减，详见特别提示）",C36)</f>
        <v>0</v>
      </c>
      <c r="I104" s="138"/>
    </row>
    <row r="105" spans="1:35" ht="18.75" customHeight="1" thickBot="1">
      <c r="A105" s="3118"/>
      <c r="B105" s="2521" t="s">
        <v>2296</v>
      </c>
      <c r="C105" s="742">
        <f ca="1">I118</f>
        <v>14288</v>
      </c>
      <c r="D105" s="743"/>
      <c r="E105" s="2265" t="s">
        <v>2301</v>
      </c>
      <c r="F105" s="2257"/>
      <c r="G105" s="2519" t="s">
        <v>2298</v>
      </c>
      <c r="H105" s="1046">
        <f>C37</f>
        <v>0</v>
      </c>
      <c r="I105" s="138"/>
    </row>
    <row r="106" spans="1:35" ht="18.75" customHeight="1">
      <c r="A106" s="2416" t="s">
        <v>2302</v>
      </c>
      <c r="B106" s="2416"/>
      <c r="C106" s="2416"/>
      <c r="D106" s="2416"/>
      <c r="E106" s="2522" t="s">
        <v>2303</v>
      </c>
      <c r="F106" s="2257"/>
      <c r="G106" s="2519" t="s">
        <v>2298</v>
      </c>
      <c r="H106" s="1046">
        <f>C38</f>
        <v>0</v>
      </c>
      <c r="I106" s="138"/>
    </row>
    <row r="107" spans="1:35" ht="18.75" customHeight="1">
      <c r="A107" s="138"/>
      <c r="B107" s="138"/>
      <c r="C107" s="138"/>
      <c r="D107" s="138"/>
      <c r="E107" s="3114" t="str">
        <f>IF(项目基本情况!E8="已注销","——","3.房地产抵押价值")</f>
        <v>3.房地产抵押价值</v>
      </c>
      <c r="F107" s="3115"/>
      <c r="G107" s="2518" t="s">
        <v>2294</v>
      </c>
      <c r="H107" s="1045">
        <f ca="1">IF(E107="——","——",H101-H103)</f>
        <v>182092</v>
      </c>
      <c r="I107" s="138"/>
    </row>
    <row r="108" spans="1:35" ht="18.75" customHeight="1">
      <c r="A108" s="138"/>
      <c r="B108" s="138"/>
      <c r="C108" s="138"/>
      <c r="D108" s="138"/>
      <c r="E108" s="3114"/>
      <c r="F108" s="3115"/>
      <c r="G108" s="2518" t="s">
        <v>2296</v>
      </c>
      <c r="H108" s="371">
        <f ca="1">ROUND(H107*10000/'数据-汇总表'!E3,0)</f>
        <v>14288</v>
      </c>
      <c r="I108" s="138"/>
    </row>
    <row r="109" spans="1:35" ht="18.75" customHeight="1">
      <c r="A109" s="138"/>
      <c r="B109" s="138"/>
      <c r="C109" s="138"/>
      <c r="D109" s="138"/>
      <c r="E109" s="3114" t="str">
        <f>IF(项目基本情况!E8="已注销及未注销","4.抵押担保权已注销时的房地产抵押价值",IF(项目基本情况!E8="已注销","3.抵押担保权已注销时的房地产抵押价值","——"))</f>
        <v>——</v>
      </c>
      <c r="F109" s="3115"/>
      <c r="G109" s="2518" t="s">
        <v>2294</v>
      </c>
      <c r="H109" s="348" t="str">
        <f>IF(E109="——","——",H101-H105-H106)</f>
        <v>——</v>
      </c>
      <c r="I109" s="138"/>
    </row>
    <row r="110" spans="1:35" ht="18.75" customHeight="1">
      <c r="A110" s="138"/>
      <c r="B110" s="138"/>
      <c r="C110" s="138"/>
      <c r="D110" s="138"/>
      <c r="E110" s="3114"/>
      <c r="F110" s="3115"/>
      <c r="G110" s="2518" t="s">
        <v>2296</v>
      </c>
      <c r="H110" s="371" t="str">
        <f>IF(H109="——","——",ROUND(H109*10000/'数据-汇总表'!E3,0))</f>
        <v>——</v>
      </c>
      <c r="I110" s="138"/>
    </row>
    <row r="111" spans="1:35" ht="18.75" customHeight="1">
      <c r="A111" s="138"/>
      <c r="B111" s="138"/>
      <c r="C111" s="138"/>
      <c r="D111" s="138"/>
      <c r="E111" s="3149" t="str">
        <f>IF(项目基本情况!E9="抵押净值",IF(OR(项目基本情况!E8="已注销",项目基本情况!E8="房地产抵押价值"),"4.抵押净值","5.抵押净值"),"——")</f>
        <v>4.抵押净值</v>
      </c>
      <c r="F111" s="3150"/>
      <c r="G111" s="2518" t="s">
        <v>2294</v>
      </c>
      <c r="H111" s="1045">
        <f ca="1">IF(E111="——","——",N59)</f>
        <v>140820</v>
      </c>
      <c r="I111" s="138"/>
    </row>
    <row r="112" spans="1:35" ht="18.75" customHeight="1" thickBot="1">
      <c r="A112" s="138"/>
      <c r="B112" s="138"/>
      <c r="C112" s="138"/>
      <c r="D112" s="138"/>
      <c r="E112" s="3151"/>
      <c r="F112" s="3152"/>
      <c r="G112" s="2523" t="s">
        <v>2296</v>
      </c>
      <c r="H112" s="790">
        <f ca="1">IF(E111="——","——",N61)</f>
        <v>11050</v>
      </c>
      <c r="I112" s="138"/>
    </row>
    <row r="113" spans="1:11" ht="18.75" customHeight="1">
      <c r="A113" s="138"/>
      <c r="B113" s="138"/>
      <c r="C113" s="138"/>
      <c r="D113" s="138"/>
      <c r="E113" s="3119" t="s">
        <v>2302</v>
      </c>
      <c r="F113" s="3119"/>
      <c r="G113" s="3119"/>
      <c r="H113" s="3119"/>
      <c r="I113" s="138"/>
    </row>
    <row r="114" spans="1:11" ht="3.75" customHeight="1">
      <c r="A114" s="2416"/>
      <c r="B114" s="2416"/>
      <c r="C114" s="2416"/>
      <c r="D114" s="2416"/>
      <c r="E114" s="2494"/>
      <c r="F114" s="2494"/>
      <c r="G114" s="2494"/>
      <c r="H114" s="2494"/>
      <c r="I114" s="2416"/>
    </row>
    <row r="115" spans="1:11" ht="18.75" customHeight="1">
      <c r="A115" s="3132" t="s">
        <v>2304</v>
      </c>
      <c r="B115" s="3133"/>
      <c r="C115" s="3133"/>
      <c r="D115" s="3133"/>
      <c r="E115" s="3133"/>
      <c r="F115" s="3133"/>
      <c r="G115" s="3133"/>
      <c r="H115" s="3133"/>
      <c r="I115" s="3134"/>
    </row>
    <row r="116" spans="1:11" ht="27" customHeight="1">
      <c r="A116" s="3024" t="s">
        <v>2305</v>
      </c>
      <c r="B116" s="3120" t="s">
        <v>2306</v>
      </c>
      <c r="C116" s="3120" t="s">
        <v>2307</v>
      </c>
      <c r="D116" s="3136" t="s">
        <v>2308</v>
      </c>
      <c r="E116" s="3137"/>
      <c r="F116" s="3128" t="s">
        <v>2309</v>
      </c>
      <c r="G116" s="3128"/>
      <c r="H116" s="3024" t="s">
        <v>2310</v>
      </c>
      <c r="I116" s="3024"/>
    </row>
    <row r="117" spans="1:11" ht="18.75" customHeight="1">
      <c r="A117" s="3024"/>
      <c r="B117" s="3121"/>
      <c r="C117" s="3121"/>
      <c r="D117" s="1794" t="s">
        <v>2311</v>
      </c>
      <c r="E117" s="1794" t="s">
        <v>2312</v>
      </c>
      <c r="F117" s="1794" t="s">
        <v>2311</v>
      </c>
      <c r="G117" s="1794" t="s">
        <v>2313</v>
      </c>
      <c r="H117" s="1794" t="s">
        <v>2311</v>
      </c>
      <c r="I117" s="1794" t="s">
        <v>2313</v>
      </c>
    </row>
    <row r="118" spans="1:11" ht="24.75" customHeight="1">
      <c r="A118" s="2524" t="str">
        <f>项目基本情况!S2</f>
        <v>出让国有建设用地使用权及在建建筑物房地产</v>
      </c>
      <c r="B118" s="1794">
        <f>M18</f>
        <v>127439.59000000001</v>
      </c>
      <c r="C118" s="1794">
        <f>M19</f>
        <v>29206.66</v>
      </c>
      <c r="D118" s="1794">
        <f ca="1">ROUND(IF(D32="总价",C34,E118*B118/10000),0)</f>
        <v>107434</v>
      </c>
      <c r="E118" s="1794">
        <f ca="1">ROUND(IF(C33="自定义",IF(D32="楼面单价",C34,D118*10000/B118),I118-G118),0)</f>
        <v>8430</v>
      </c>
      <c r="F118" s="1794">
        <f ca="1">ROUND(IF(D32="总价",C35,G118*B118/10000),0)</f>
        <v>74658</v>
      </c>
      <c r="G118" s="1794">
        <f ca="1">ROUND(IF(D32="楼面单价",C35,F118*10000/B118),0)</f>
        <v>5858</v>
      </c>
      <c r="H118" s="1794">
        <f ca="1">ROUND(IF(D32="总价",C32,I118*B118/10000),0)</f>
        <v>182092</v>
      </c>
      <c r="I118" s="1794">
        <f ca="1">ROUND(IF(D32="楼面单价",C32,H118*10000/B118),0)</f>
        <v>14288</v>
      </c>
    </row>
    <row r="119" spans="1:11" ht="18.75" customHeight="1">
      <c r="A119" s="3024" t="s">
        <v>2314</v>
      </c>
      <c r="B119" s="3024"/>
      <c r="C119" s="3024"/>
      <c r="D119" s="3125" t="str">
        <f ca="1">NUMBERSTRING(INT(D118*10000),2)&amp;"元整"</f>
        <v>壹拾亿柒仟肆佰叁拾肆万元整</v>
      </c>
      <c r="E119" s="3127"/>
      <c r="F119" s="3125" t="str">
        <f ca="1">NUMBERSTRING(INT(F118*10000),2)&amp;"元整"</f>
        <v>柒亿肆仟陆佰伍拾捌万元整</v>
      </c>
      <c r="G119" s="3127"/>
      <c r="H119" s="3125" t="str">
        <f ca="1">NUMBERSTRING(INT(H118*10000),2)&amp;"元整"</f>
        <v>壹拾捌亿贰仟零玖拾贰万元整</v>
      </c>
      <c r="I119" s="3127"/>
    </row>
    <row r="120" spans="1:11" ht="18.75" customHeight="1">
      <c r="A120" s="3153" t="str">
        <f>IF(项目基本情况!B9="房地产市场价值","",MID(E103,3,LEN(E103)-2))</f>
        <v>估价师知悉的法定优先受偿款</v>
      </c>
      <c r="B120" s="3154"/>
      <c r="C120" s="3155"/>
      <c r="D120" s="3153">
        <f>H103</f>
        <v>0</v>
      </c>
      <c r="E120" s="3154"/>
      <c r="F120" s="3154"/>
      <c r="G120" s="3154"/>
      <c r="H120" s="3154"/>
      <c r="I120" s="3155"/>
      <c r="K120" s="2421" t="str">
        <f>IF(D120=0,"故，本次评估不存在"&amp;A120,"故，本次评估"&amp;A120&amp;"为人民币"&amp;D120&amp;"万元整。")</f>
        <v>故，本次评估不存在估价师知悉的法定优先受偿款</v>
      </c>
    </row>
    <row r="121" spans="1:11" ht="18.75" customHeight="1">
      <c r="A121" s="3129" t="s">
        <v>2314</v>
      </c>
      <c r="B121" s="3130"/>
      <c r="C121" s="3131"/>
      <c r="D121" s="3125" t="str">
        <f>IF(D120=0,"零元整",NUMBERSTRING(INT(D120*10000),2)&amp;"元整")</f>
        <v>零元整</v>
      </c>
      <c r="E121" s="3126"/>
      <c r="F121" s="3126"/>
      <c r="G121" s="3126"/>
      <c r="H121" s="3126"/>
      <c r="I121" s="3127"/>
    </row>
    <row r="122" spans="1:11" ht="18.75" customHeight="1">
      <c r="A122" s="3116" t="str">
        <f>IF(项目基本情况!B9="房地产市场价值","",MID(E107,3,LEN(E107)-2))</f>
        <v>房地产抵押价值</v>
      </c>
      <c r="B122" s="3116"/>
      <c r="C122" s="3116"/>
      <c r="D122" s="3153">
        <f ca="1">H107</f>
        <v>182092</v>
      </c>
      <c r="E122" s="3154"/>
      <c r="F122" s="3154"/>
      <c r="G122" s="3154"/>
      <c r="H122" s="3154"/>
      <c r="I122" s="3155"/>
    </row>
    <row r="123" spans="1:11" ht="18.75" customHeight="1">
      <c r="A123" s="3024" t="s">
        <v>2314</v>
      </c>
      <c r="B123" s="3024"/>
      <c r="C123" s="3024"/>
      <c r="D123" s="3125" t="str">
        <f ca="1">NUMBERSTRING(INT(D122*10000),2)&amp;"元整"</f>
        <v>壹拾捌亿贰仟零玖拾贰万元整</v>
      </c>
      <c r="E123" s="3126"/>
      <c r="F123" s="3126"/>
      <c r="G123" s="3126"/>
      <c r="H123" s="3126"/>
      <c r="I123" s="3127"/>
    </row>
    <row r="124" spans="1:11" ht="18.75" customHeight="1">
      <c r="A124" s="3116" t="str">
        <f>IF(项目基本情况!B9="房地产市场价值","",MID(E109,3,LEN(E109)-2))</f>
        <v/>
      </c>
      <c r="B124" s="3116"/>
      <c r="C124" s="3116"/>
      <c r="D124" s="3153" t="str">
        <f>H109</f>
        <v>——</v>
      </c>
      <c r="E124" s="3154"/>
      <c r="F124" s="3154"/>
      <c r="G124" s="3154"/>
      <c r="H124" s="3154"/>
      <c r="I124" s="3155"/>
    </row>
    <row r="125" spans="1:11" ht="18.75" customHeight="1">
      <c r="A125" s="3024" t="s">
        <v>2314</v>
      </c>
      <c r="B125" s="3024"/>
      <c r="C125" s="3024"/>
      <c r="D125" s="3125" t="e">
        <f>NUMBERSTRING(INT(D124*10000),2)&amp;"元整"</f>
        <v>#VALUE!</v>
      </c>
      <c r="E125" s="3126"/>
      <c r="F125" s="3126"/>
      <c r="G125" s="3126"/>
      <c r="H125" s="3126"/>
      <c r="I125" s="3127"/>
    </row>
    <row r="126" spans="1:11" ht="18.75" customHeight="1">
      <c r="A126" s="3116" t="str">
        <f>IF(项目基本情况!B9="房地产市场价值","",MID(E111,3,LEN(E111)-2))</f>
        <v>抵押净值</v>
      </c>
      <c r="B126" s="3116"/>
      <c r="C126" s="3116"/>
      <c r="D126" s="3153">
        <f ca="1">H111</f>
        <v>140820</v>
      </c>
      <c r="E126" s="3154"/>
      <c r="F126" s="3154"/>
      <c r="G126" s="3154"/>
      <c r="H126" s="3154"/>
      <c r="I126" s="3155"/>
    </row>
    <row r="127" spans="1:11" ht="18.75" customHeight="1">
      <c r="A127" s="3024" t="s">
        <v>2314</v>
      </c>
      <c r="B127" s="3024"/>
      <c r="C127" s="3024"/>
      <c r="D127" s="3125" t="str">
        <f ca="1">NUMBERSTRING(INT(D126*10000),2)&amp;"元整"</f>
        <v>壹拾肆亿零捌佰贰拾万元整</v>
      </c>
      <c r="E127" s="3126"/>
      <c r="F127" s="3126"/>
      <c r="G127" s="3126"/>
      <c r="H127" s="3126"/>
      <c r="I127" s="3127"/>
    </row>
    <row r="128" spans="1:11" ht="21.75" customHeight="1">
      <c r="A128" s="3135" t="s">
        <v>2315</v>
      </c>
      <c r="B128" s="3135"/>
      <c r="C128" s="3135"/>
      <c r="D128" s="3135"/>
      <c r="E128" s="3135"/>
      <c r="F128" s="3135"/>
      <c r="G128" s="3135"/>
      <c r="H128" s="3135"/>
      <c r="I128" s="3135"/>
    </row>
    <row r="129" spans="1:35" ht="21.75" customHeight="1">
      <c r="A129" s="2525" t="s">
        <v>2316</v>
      </c>
      <c r="B129" s="2526"/>
      <c r="C129" s="2527" t="s">
        <v>2317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2318</v>
      </c>
      <c r="G135" s="2542"/>
      <c r="H135" s="2542"/>
      <c r="I135" s="2543" t="s">
        <v>2319</v>
      </c>
    </row>
    <row r="136" spans="1:35" ht="21.75" customHeight="1">
      <c r="A136" s="795"/>
      <c r="B136" s="2544"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2321</v>
      </c>
    </row>
    <row r="139" spans="1:35" ht="21.75" customHeight="1">
      <c r="A139" s="795"/>
      <c r="B139" s="2544" t="s">
        <v>2322</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2321</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
  <cols>
    <col min="1" max="1" width="3.453125" style="1015" customWidth="1"/>
    <col min="2" max="9" width="10" style="1015" customWidth="1"/>
    <col min="10" max="16384" width="9" style="1015"/>
  </cols>
  <sheetData>
    <row r="36" spans="1:9">
      <c r="A36" s="1014" t="s">
        <v>818</v>
      </c>
      <c r="B36" s="1014" t="s">
        <v>819</v>
      </c>
    </row>
    <row r="37" spans="1:9" ht="27.75" customHeight="1">
      <c r="A37" s="1014"/>
      <c r="B37" s="2980" t="str">
        <f>项目基本情况!B1</f>
        <v>出让国有建设用地使用权及在建建筑物房地产抵押价值预评估</v>
      </c>
      <c r="C37" s="2980"/>
      <c r="D37" s="2980"/>
      <c r="E37" s="2980"/>
      <c r="F37" s="2980"/>
      <c r="G37" s="2980"/>
      <c r="H37" s="2980"/>
      <c r="I37" s="2980"/>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3.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workbookViewId="0">
      <selection activeCell="G23" sqref="G23"/>
    </sheetView>
  </sheetViews>
  <sheetFormatPr defaultColWidth="8.36328125" defaultRowHeight="12.5"/>
  <cols>
    <col min="1" max="1" width="10.36328125" style="313" customWidth="1"/>
    <col min="2" max="2" width="29.1796875" style="295" customWidth="1"/>
    <col min="3" max="3" width="12.08984375" style="295" customWidth="1"/>
    <col min="4" max="5" width="11.1796875" style="316" customWidth="1"/>
    <col min="6" max="6" width="9.453125" style="295" customWidth="1"/>
    <col min="7" max="7" width="31.90625" style="295" customWidth="1"/>
    <col min="8" max="254" width="9" style="295" customWidth="1"/>
    <col min="255" max="16384" width="8.36328125" style="295"/>
  </cols>
  <sheetData>
    <row r="1" spans="1:9" s="244" customFormat="1" ht="21">
      <c r="A1" s="240" t="s">
        <v>2323</v>
      </c>
      <c r="B1" s="1935"/>
      <c r="C1" s="242"/>
      <c r="D1" s="242"/>
      <c r="E1" s="242"/>
      <c r="F1" s="242"/>
      <c r="G1" s="1379">
        <f>MATCH(B1,'数据-取费表'!A6:A16,0)+5</f>
        <v>10</v>
      </c>
    </row>
    <row r="2" spans="1:9" s="244" customFormat="1" ht="18" customHeight="1">
      <c r="A2" s="245" t="s">
        <v>2324</v>
      </c>
      <c r="B2" s="246">
        <f ca="1">IF(D2="——",C52,C52-E2)</f>
        <v>119927</v>
      </c>
      <c r="C2" s="243" t="s">
        <v>2325</v>
      </c>
      <c r="D2" s="2547" t="s">
        <v>70</v>
      </c>
      <c r="E2" s="1440" t="e">
        <f ca="1">SUMIF(INDIRECT("'"&amp;G2&amp;"'"&amp;"!A:A"),"承租人权益价值",INDIRECT("'"&amp;G2&amp;"'"&amp;"!c:c"))</f>
        <v>#REF!</v>
      </c>
      <c r="F2" s="2548" t="s">
        <v>2325</v>
      </c>
      <c r="G2" s="2549"/>
    </row>
    <row r="3" spans="1:9" s="244" customFormat="1" ht="18" customHeight="1" thickBot="1">
      <c r="A3" s="247" t="s">
        <v>2326</v>
      </c>
      <c r="B3" s="248">
        <f ca="1">ROUND(B2*10000/(IF(B1="",'数据-汇总表'!E3,INDIRECT("'数据-取费表'!k"&amp;$G$1))),0)</f>
        <v>9410</v>
      </c>
      <c r="C3" s="243" t="s">
        <v>2327</v>
      </c>
      <c r="D3" s="243"/>
      <c r="E3" s="243"/>
      <c r="F3" s="243"/>
      <c r="G3" s="243"/>
    </row>
    <row r="4" spans="1:9" s="252" customFormat="1" ht="16">
      <c r="A4" s="249" t="s">
        <v>2328</v>
      </c>
      <c r="B4" s="250"/>
      <c r="C4" s="250"/>
      <c r="D4" s="250"/>
      <c r="E4" s="250"/>
      <c r="F4" s="250"/>
      <c r="G4" s="251"/>
    </row>
    <row r="5" spans="1:9" s="258" customFormat="1" ht="13.5" customHeight="1">
      <c r="A5" s="299" t="s">
        <v>2329</v>
      </c>
      <c r="B5" s="254" t="s">
        <v>2330</v>
      </c>
      <c r="C5" s="255">
        <f ca="1">C6+C7+C8</f>
        <v>53613</v>
      </c>
      <c r="D5" s="255" t="s">
        <v>2331</v>
      </c>
      <c r="E5" s="256" t="s">
        <v>2332</v>
      </c>
      <c r="F5" s="256" t="s">
        <v>2333</v>
      </c>
      <c r="G5" s="257"/>
    </row>
    <row r="6" spans="1:9" s="258" customFormat="1" ht="13.5" customHeight="1">
      <c r="A6" s="949" t="s">
        <v>2334</v>
      </c>
      <c r="B6" s="259" t="s">
        <v>2335</v>
      </c>
      <c r="C6" s="260">
        <f>'土地比较法-住宅、综合'!B2</f>
        <v>49306</v>
      </c>
      <c r="D6" s="261"/>
      <c r="E6" s="262"/>
      <c r="F6" s="262"/>
      <c r="G6" s="263"/>
    </row>
    <row r="7" spans="1:9" s="258" customFormat="1" ht="13.5" customHeight="1">
      <c r="A7" s="949" t="s">
        <v>2336</v>
      </c>
      <c r="B7" s="259" t="s">
        <v>2337</v>
      </c>
      <c r="C7" s="264">
        <f>ROUND(C6*F7,0)</f>
        <v>1504</v>
      </c>
      <c r="D7" s="264"/>
      <c r="E7" s="262"/>
      <c r="F7" s="265">
        <f>IF(项目基本情况!B8="出让",0,'数据-取费表'!B48+'数据-取费表'!B49)</f>
        <v>3.0499999999999999E-2</v>
      </c>
      <c r="G7" s="263"/>
    </row>
    <row r="8" spans="1:9" s="267" customFormat="1" ht="13">
      <c r="A8" s="949" t="s">
        <v>2338</v>
      </c>
      <c r="B8" s="259" t="s">
        <v>2339</v>
      </c>
      <c r="C8" s="264">
        <f ca="1">IF(G8="已包含在土地购买价格中","0",IF(B1="",'数据-取费表'!B29,IF(G9="全部缴纳",C9+C10,H9)))</f>
        <v>2803</v>
      </c>
      <c r="D8" s="266"/>
      <c r="E8" s="264"/>
      <c r="F8" s="265"/>
      <c r="G8" s="2550" t="s">
        <v>4715</v>
      </c>
    </row>
    <row r="9" spans="1:9" s="258" customFormat="1" ht="13.5" customHeight="1">
      <c r="A9" s="950" t="s">
        <v>800</v>
      </c>
      <c r="B9" s="268" t="s">
        <v>2340</v>
      </c>
      <c r="C9" s="269">
        <f ca="1">ROUND(D9*E9/10000,0)</f>
        <v>1627</v>
      </c>
      <c r="D9" s="1032">
        <f ca="1">IF(B1="",'数据-汇总表'!E5,IF(INDIRECT("'数据-取费表'!c"&amp;$G$1)="住宅",INDIRECT("'数据-取费表'!k"&amp;$G$1),0))</f>
        <v>73964.140000000043</v>
      </c>
      <c r="E9" s="269">
        <f>'数据-取费表'!B27</f>
        <v>220</v>
      </c>
      <c r="F9" s="265"/>
      <c r="G9" s="2551" t="s">
        <v>4714</v>
      </c>
      <c r="H9" s="1390"/>
      <c r="I9" s="2552" t="s">
        <v>2341</v>
      </c>
    </row>
    <row r="10" spans="1:9" s="258" customFormat="1" ht="13.5" customHeight="1">
      <c r="A10" s="950" t="s">
        <v>801</v>
      </c>
      <c r="B10" s="268" t="s">
        <v>2342</v>
      </c>
      <c r="C10" s="269">
        <f ca="1">ROUND(D10*E10/10000,0)</f>
        <v>1176</v>
      </c>
      <c r="D10" s="1032">
        <f ca="1">IF(B1="",'数据-汇总表'!E6,IF(INDIRECT("'数据-取费表'!c"&amp;$G$1)="住宅",INDIRECT("'数据-取费表'!s"&amp;$G$1),INDIRECT("'数据-取费表'!k"&amp;$G$1)+INDIRECT("'数据-取费表'!s"&amp;$G$1)))</f>
        <v>53475.449999999968</v>
      </c>
      <c r="E10" s="269">
        <f>'数据-取费表'!B28</f>
        <v>220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127439.59000000001</v>
      </c>
      <c r="E19" s="255">
        <f>'数据-取费表'!B31</f>
        <v>200</v>
      </c>
      <c r="F19" s="275"/>
      <c r="G19" s="2550" t="s">
        <v>4716</v>
      </c>
    </row>
    <row r="20" spans="1:7" s="258" customFormat="1" ht="13.5" customHeight="1">
      <c r="A20" s="299" t="s">
        <v>2355</v>
      </c>
      <c r="B20" s="254" t="s">
        <v>2356</v>
      </c>
      <c r="C20" s="276">
        <f ca="1">ROUND((C5+C19)*F20,0)</f>
        <v>1072</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4240</v>
      </c>
      <c r="D22" s="279">
        <f ca="1">C26</f>
        <v>8.0000000000000004E-4</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4199</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6">
      <c r="A25" s="951" t="s">
        <v>2370</v>
      </c>
      <c r="B25" s="259" t="s">
        <v>2371</v>
      </c>
      <c r="C25" s="1355">
        <f ca="1">ROUND(IF('数据-取费表'!B22&lt;=1,C20*F22*'数据-取费表'!B23/2,C20*(POWER((1+F22),'数据-取费表'!B23/2)-1)),0)</f>
        <v>41</v>
      </c>
      <c r="D25" s="282"/>
      <c r="E25" s="285"/>
      <c r="F25" s="283"/>
      <c r="G25" s="286" t="s">
        <v>2372</v>
      </c>
    </row>
    <row r="26" spans="1:7" s="258" customFormat="1" ht="13">
      <c r="A26" s="951" t="s">
        <v>795</v>
      </c>
      <c r="B26" s="259" t="s">
        <v>2373</v>
      </c>
      <c r="C26" s="282">
        <f ca="1">ROUND(IF('数据-取费表'!B22&lt;=1,F21*F22*'数据-取费表'!B23/2,F21*(POWER((1+F22),'数据-取费表'!B23/2)-1)),4)</f>
        <v>8.0000000000000004E-4</v>
      </c>
      <c r="D26" s="282"/>
      <c r="E26" s="285"/>
      <c r="F26" s="283"/>
      <c r="G26" s="287"/>
    </row>
    <row r="27" spans="1:7" s="258" customFormat="1" ht="27">
      <c r="A27" s="299" t="s">
        <v>2374</v>
      </c>
      <c r="B27" s="288" t="s">
        <v>2375</v>
      </c>
      <c r="C27" s="289">
        <f ca="1">C28</f>
        <v>6398</v>
      </c>
      <c r="D27" s="279">
        <f ca="1">C29</f>
        <v>2.3E-3</v>
      </c>
      <c r="E27" s="280" t="s">
        <v>2376</v>
      </c>
      <c r="F27" s="290">
        <f ca="1">IF(B1="",'数据-取费表'!Q16,INDIRECT("'数据-取费表'!q"&amp;$G$1))</f>
        <v>0.18</v>
      </c>
      <c r="G27" s="291" t="s">
        <v>2377</v>
      </c>
    </row>
    <row r="28" spans="1:7" s="258" customFormat="1" ht="13.5" customHeight="1">
      <c r="A28" s="951" t="s">
        <v>791</v>
      </c>
      <c r="B28" s="292" t="s">
        <v>2378</v>
      </c>
      <c r="C28" s="293">
        <f ca="1">ROUND((C5+C19+C20)*F27*'数据-取费表'!B21/'数据-取费表'!B20,0)</f>
        <v>6398</v>
      </c>
      <c r="D28" s="279"/>
      <c r="E28" s="280"/>
      <c r="F28" s="290"/>
      <c r="G28" s="291"/>
    </row>
    <row r="29" spans="1:7" s="258" customFormat="1" ht="13.5" customHeight="1">
      <c r="A29" s="951" t="s">
        <v>792</v>
      </c>
      <c r="B29" s="292" t="s">
        <v>2379</v>
      </c>
      <c r="C29" s="282">
        <f ca="1">ROUND(C21*F27*'数据-取费表'!B21/'数据-取费表'!B20,4)</f>
        <v>2.3E-3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70727</v>
      </c>
      <c r="D31" s="274"/>
      <c r="E31" s="255"/>
      <c r="F31" s="294"/>
      <c r="G31" s="278" t="s">
        <v>2384</v>
      </c>
    </row>
    <row r="32" spans="1:7" s="252" customFormat="1" ht="16">
      <c r="A32" s="296" t="s">
        <v>2385</v>
      </c>
      <c r="B32" s="297"/>
      <c r="C32" s="297"/>
      <c r="D32" s="297"/>
      <c r="E32" s="297"/>
      <c r="F32" s="297"/>
      <c r="G32" s="298"/>
    </row>
    <row r="33" spans="1:7" s="258" customFormat="1" ht="13.5" customHeight="1">
      <c r="A33" s="299" t="s">
        <v>782</v>
      </c>
      <c r="B33" s="254" t="s">
        <v>2386</v>
      </c>
      <c r="C33" s="300">
        <f ca="1">SUM(C34:C38)</f>
        <v>36512</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32126</v>
      </c>
      <c r="D34" s="261"/>
      <c r="E34" s="264"/>
      <c r="F34" s="301">
        <f ca="1">IF('数据-取费表'!B24=0,1,IF(B1="",'数据-取费表'!N16,INDIRECT("'数据-取费表'!n"&amp;$G$1)))</f>
        <v>0.65</v>
      </c>
      <c r="G34" s="263" t="s">
        <v>2388</v>
      </c>
    </row>
    <row r="35" spans="1:7" ht="13.5" customHeight="1">
      <c r="A35" s="951" t="s">
        <v>796</v>
      </c>
      <c r="B35" s="259" t="s">
        <v>2389</v>
      </c>
      <c r="C35" s="264">
        <f ca="1">ROUND(C34*F35,0)</f>
        <v>1285</v>
      </c>
      <c r="D35" s="264"/>
      <c r="E35" s="264"/>
      <c r="F35" s="303">
        <f>'数据-取费表'!B33</f>
        <v>0.04</v>
      </c>
      <c r="G35" s="263" t="s">
        <v>2390</v>
      </c>
    </row>
    <row r="36" spans="1:7" ht="26">
      <c r="A36" s="951" t="s">
        <v>797</v>
      </c>
      <c r="B36" s="259" t="s">
        <v>2391</v>
      </c>
      <c r="C36" s="264">
        <f ca="1">ROUND(IF(B1="",SUMIF('数据-取费表'!C:C,"住宅",IF(F34=100%,'数据-取费表'!M:M,'数据-取费表'!O:O))*F36,IF(INDIRECT("'数据-取费表'!c"&amp;$G$1)="住宅",IF(F34=100%,INDIRECT("'数据-取费表'!m"&amp;$G$1)*F36,INDIRECT("'数据-取费表'!o"&amp;$G$1)*F36),0)),0)</f>
        <v>962</v>
      </c>
      <c r="D36" s="264"/>
      <c r="E36" s="264"/>
      <c r="F36" s="303">
        <f>'数据-取费表'!B34</f>
        <v>0.05</v>
      </c>
      <c r="G36" s="304" t="s">
        <v>2392</v>
      </c>
    </row>
    <row r="37" spans="1:7" s="302" customFormat="1" ht="13.5" customHeight="1">
      <c r="A37" s="951" t="s">
        <v>798</v>
      </c>
      <c r="B37" s="259" t="s">
        <v>2393</v>
      </c>
      <c r="C37" s="293">
        <f ca="1">ROUND(E37*D37*F34/10000,0)</f>
        <v>1657</v>
      </c>
      <c r="D37" s="261">
        <f ca="1">D19</f>
        <v>127439.59000000001</v>
      </c>
      <c r="E37" s="293">
        <f>'数据-取费表'!B35</f>
        <v>200</v>
      </c>
      <c r="F37" s="303"/>
      <c r="G37" s="305" t="s">
        <v>2394</v>
      </c>
    </row>
    <row r="38" spans="1:7" ht="13.5" customHeight="1">
      <c r="A38" s="951" t="s">
        <v>799</v>
      </c>
      <c r="B38" s="259" t="s">
        <v>2395</v>
      </c>
      <c r="C38" s="264">
        <f ca="1">ROUND(C34*F38,0)</f>
        <v>482</v>
      </c>
      <c r="D38" s="264"/>
      <c r="E38" s="264"/>
      <c r="F38" s="303">
        <f>'数据-取费表'!B36</f>
        <v>1.4999999999999999E-2</v>
      </c>
      <c r="G38" s="263" t="s">
        <v>2390</v>
      </c>
    </row>
    <row r="39" spans="1:7" s="258" customFormat="1" ht="13.5" customHeight="1">
      <c r="A39" s="299" t="s">
        <v>2396</v>
      </c>
      <c r="B39" s="254" t="s">
        <v>2397</v>
      </c>
      <c r="C39" s="276">
        <f ca="1">ROUND(C33*F20,0)</f>
        <v>730</v>
      </c>
      <c r="D39" s="276"/>
      <c r="E39" s="276"/>
      <c r="F39" s="277"/>
      <c r="G39" s="278" t="s">
        <v>2398</v>
      </c>
    </row>
    <row r="40" spans="1:7" s="258" customFormat="1" ht="13.5" customHeight="1">
      <c r="A40" s="299" t="s">
        <v>2399</v>
      </c>
      <c r="B40" s="254" t="s">
        <v>2400</v>
      </c>
      <c r="C40" s="1727">
        <f>F21</f>
        <v>0.02</v>
      </c>
      <c r="D40" s="280" t="s">
        <v>2401</v>
      </c>
      <c r="E40" s="276"/>
      <c r="F40" s="277"/>
      <c r="G40" s="278" t="s">
        <v>2402</v>
      </c>
    </row>
    <row r="41" spans="1:7" s="258" customFormat="1" ht="13.5" customHeight="1">
      <c r="A41" s="299" t="s">
        <v>2403</v>
      </c>
      <c r="B41" s="254" t="s">
        <v>2404</v>
      </c>
      <c r="C41" s="276">
        <f ca="1">ROUND(SUM(C42:C43),0)</f>
        <v>1431</v>
      </c>
      <c r="D41" s="279">
        <f ca="1">C44</f>
        <v>8.0000000000000004E-4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1403</v>
      </c>
      <c r="D42" s="282"/>
      <c r="E42" s="282"/>
      <c r="F42" s="283"/>
      <c r="G42" s="3167" t="s">
        <v>2406</v>
      </c>
    </row>
    <row r="43" spans="1:7" ht="13.5" customHeight="1">
      <c r="A43" s="951" t="s">
        <v>792</v>
      </c>
      <c r="B43" s="259" t="s">
        <v>2407</v>
      </c>
      <c r="C43" s="282">
        <f ca="1">ROUND(IF('数据-取费表'!B22&lt;=1,C39*F22*'数据-取费表'!B21/2,C39*(POWER((1+F22),'数据-取费表'!B21/2)-1)),0)</f>
        <v>28</v>
      </c>
      <c r="D43" s="282"/>
      <c r="E43" s="282"/>
      <c r="F43" s="283"/>
      <c r="G43" s="3168"/>
    </row>
    <row r="44" spans="1:7" ht="13.5" customHeight="1">
      <c r="A44" s="951" t="s">
        <v>793</v>
      </c>
      <c r="B44" s="259" t="s">
        <v>2408</v>
      </c>
      <c r="C44" s="282">
        <f ca="1">ROUND(IF('数据-取费表'!B22&lt;=1,C40*F22*'数据-取费表'!B21/2,C40*(POWER((1+F22),'数据-取费表'!B21/2)-1)),4)</f>
        <v>8.0000000000000004E-4</v>
      </c>
      <c r="D44" s="282"/>
      <c r="E44" s="282"/>
      <c r="F44" s="283"/>
      <c r="G44" s="3169"/>
    </row>
    <row r="45" spans="1:7" s="258" customFormat="1" ht="13.5" customHeight="1">
      <c r="A45" s="299" t="s">
        <v>2409</v>
      </c>
      <c r="B45" s="288" t="s">
        <v>2375</v>
      </c>
      <c r="C45" s="289">
        <f ca="1">C46</f>
        <v>6704</v>
      </c>
      <c r="D45" s="279">
        <f ca="1">C47</f>
        <v>3.5999999999999999E-3</v>
      </c>
      <c r="E45" s="280" t="s">
        <v>2401</v>
      </c>
      <c r="F45" s="290"/>
      <c r="G45" s="291" t="s">
        <v>2410</v>
      </c>
    </row>
    <row r="46" spans="1:7" s="258" customFormat="1" ht="13.5" customHeight="1">
      <c r="A46" s="951" t="s">
        <v>791</v>
      </c>
      <c r="B46" s="292" t="s">
        <v>2411</v>
      </c>
      <c r="C46" s="293">
        <f ca="1">ROUND((C33+C39)*F27,0)</f>
        <v>6704</v>
      </c>
      <c r="D46" s="307"/>
      <c r="E46" s="280"/>
      <c r="F46" s="290"/>
      <c r="G46" s="291"/>
    </row>
    <row r="47" spans="1:7" s="258" customFormat="1" ht="13.5" customHeight="1">
      <c r="A47" s="951" t="s">
        <v>792</v>
      </c>
      <c r="B47" s="292" t="s">
        <v>2412</v>
      </c>
      <c r="C47" s="282">
        <f ca="1">ROUND(C40*F27,4)</f>
        <v>3.5999999999999999E-3</v>
      </c>
      <c r="D47" s="307"/>
      <c r="E47" s="280"/>
      <c r="F47" s="290"/>
      <c r="G47" s="291"/>
    </row>
    <row r="48" spans="1:7" s="258" customFormat="1" ht="13.5" customHeight="1">
      <c r="A48" s="299" t="s">
        <v>2374</v>
      </c>
      <c r="B48" s="254" t="s">
        <v>2413</v>
      </c>
      <c r="C48" s="1727">
        <f>ROUND(F30/(1+'数据-取费表'!C42),4)</f>
        <v>5.33E-2</v>
      </c>
      <c r="D48" s="280" t="s">
        <v>2401</v>
      </c>
      <c r="E48" s="276"/>
      <c r="F48" s="281"/>
      <c r="G48" s="278" t="s">
        <v>2414</v>
      </c>
    </row>
    <row r="49" spans="1:7" ht="16.5" customHeight="1">
      <c r="A49" s="299" t="s">
        <v>2380</v>
      </c>
      <c r="B49" s="254" t="s">
        <v>2415</v>
      </c>
      <c r="C49" s="276">
        <f ca="1">ROUND((C33+C39+C41+C45)/(1-C40-D41-D45-C48),0)</f>
        <v>49200</v>
      </c>
      <c r="D49" s="276"/>
      <c r="E49" s="276"/>
      <c r="F49" s="308"/>
      <c r="G49" s="278" t="s">
        <v>2416</v>
      </c>
    </row>
    <row r="50" spans="1:7" s="302" customFormat="1" ht="26">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49200</v>
      </c>
      <c r="D51" s="276"/>
      <c r="E51" s="276"/>
      <c r="F51" s="308"/>
      <c r="G51" s="278" t="s">
        <v>2422</v>
      </c>
    </row>
    <row r="52" spans="1:7" s="252" customFormat="1" ht="16.5" thickBot="1">
      <c r="A52" s="309" t="s">
        <v>2423</v>
      </c>
      <c r="B52" s="310"/>
      <c r="C52" s="311">
        <f ca="1">C31+C51</f>
        <v>119927</v>
      </c>
      <c r="D52" s="310"/>
      <c r="E52" s="310"/>
      <c r="F52" s="310"/>
      <c r="G52" s="312"/>
    </row>
    <row r="55" spans="1:7" ht="15.5">
      <c r="B55" s="314" t="s">
        <v>2424</v>
      </c>
      <c r="C55" s="315"/>
    </row>
    <row r="56" spans="1:7" ht="13">
      <c r="B56" s="317" t="s">
        <v>1507</v>
      </c>
      <c r="C56" s="319">
        <f ca="1">1-C57</f>
        <v>0.59000000000000008</v>
      </c>
    </row>
    <row r="57" spans="1:7" ht="13">
      <c r="B57" s="317" t="s">
        <v>1508</v>
      </c>
      <c r="C57" s="318">
        <f ca="1">ROUND(C51/C52,3)</f>
        <v>0.41</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F7" sqref="F7"/>
    </sheetView>
  </sheetViews>
  <sheetFormatPr defaultColWidth="8.36328125" defaultRowHeight="12.5"/>
  <cols>
    <col min="1" max="1" width="9.36328125" style="313" customWidth="1"/>
    <col min="2" max="2" width="29.1796875" style="295" customWidth="1"/>
    <col min="3" max="3" width="12.08984375" style="295" customWidth="1"/>
    <col min="4" max="5" width="11.1796875" style="316" customWidth="1"/>
    <col min="6" max="6" width="9.453125" style="295" customWidth="1"/>
    <col min="7" max="7" width="31.90625" style="295" customWidth="1"/>
    <col min="8" max="8" width="10.81640625" style="295" customWidth="1"/>
    <col min="9" max="254" width="9" style="295" customWidth="1"/>
    <col min="255" max="16384" width="8.36328125" style="295"/>
  </cols>
  <sheetData>
    <row r="1" spans="1:8" s="244" customFormat="1" ht="21">
      <c r="A1" s="240" t="s">
        <v>2323</v>
      </c>
      <c r="B1" s="1935"/>
      <c r="C1" s="2553" t="s">
        <v>2425</v>
      </c>
      <c r="D1" s="242"/>
      <c r="E1" s="242"/>
      <c r="F1" s="242"/>
      <c r="G1" s="1379">
        <f>MATCH(B1,'数据-取费表'!A6:A16,0)+5</f>
        <v>10</v>
      </c>
      <c r="H1" s="1282" t="str">
        <f>IF(ISERROR(FIND("住宅",B1)),"非住宅","住宅")</f>
        <v>非住宅</v>
      </c>
    </row>
    <row r="2" spans="1:8" s="244" customFormat="1" ht="18" customHeight="1">
      <c r="A2" s="245" t="s">
        <v>2324</v>
      </c>
      <c r="B2" s="246">
        <f ca="1">ROUND(IF(D2="——",C52/10000,C52/10000-E2),0)</f>
        <v>84754</v>
      </c>
      <c r="C2" s="243" t="s">
        <v>2325</v>
      </c>
      <c r="D2" s="2547" t="s">
        <v>70</v>
      </c>
      <c r="E2" s="1440" t="e">
        <f ca="1">SUMIF(INDIRECT("'"&amp;G2&amp;"'"&amp;"!A:A"),"承租人权益价值",INDIRECT("'"&amp;G2&amp;"'"&amp;"!c:c"))</f>
        <v>#REF!</v>
      </c>
      <c r="F2" s="2548" t="s">
        <v>2325</v>
      </c>
      <c r="G2" s="2549"/>
    </row>
    <row r="3" spans="1:8" s="244" customFormat="1" ht="18" customHeight="1" thickBot="1">
      <c r="A3" s="247" t="s">
        <v>2326</v>
      </c>
      <c r="B3" s="248">
        <f ca="1">ROUND(B2*10000/(IF(B1="",'数据-汇总表'!E3,INDIRECT("'数据-取费表'!k"&amp;$G$1))),0)</f>
        <v>6651</v>
      </c>
      <c r="C3" s="243" t="s">
        <v>2327</v>
      </c>
      <c r="D3" s="243"/>
      <c r="E3" s="243"/>
      <c r="F3" s="243"/>
      <c r="G3" s="243"/>
    </row>
    <row r="4" spans="1:8" s="252" customFormat="1" ht="16">
      <c r="A4" s="249" t="s">
        <v>2328</v>
      </c>
      <c r="B4" s="250"/>
      <c r="C4" s="250"/>
      <c r="D4" s="250"/>
      <c r="E4" s="250"/>
      <c r="F4" s="250"/>
      <c r="G4" s="251"/>
    </row>
    <row r="5" spans="1:8" s="258" customFormat="1" ht="13.5" customHeight="1">
      <c r="A5" s="299" t="s">
        <v>2329</v>
      </c>
      <c r="B5" s="254" t="s">
        <v>2330</v>
      </c>
      <c r="C5" s="255">
        <f ca="1">C6+C7+C8</f>
        <v>28036710</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ht="13">
      <c r="A8" s="949" t="s">
        <v>2338</v>
      </c>
      <c r="B8" s="259" t="s">
        <v>2339</v>
      </c>
      <c r="C8" s="264">
        <f ca="1">IF(G8="已包含在土地购买价格中",0,C9+C10)</f>
        <v>28036710</v>
      </c>
      <c r="D8" s="266"/>
      <c r="E8" s="264"/>
      <c r="F8" s="265"/>
      <c r="G8" s="2550"/>
    </row>
    <row r="9" spans="1:8" s="258" customFormat="1" ht="13.5" customHeight="1">
      <c r="A9" s="950" t="s">
        <v>800</v>
      </c>
      <c r="B9" s="268" t="s">
        <v>2340</v>
      </c>
      <c r="C9" s="269">
        <f ca="1">ROUND(D9*E9,0)</f>
        <v>16272111</v>
      </c>
      <c r="D9" s="1032">
        <f ca="1">IF(B1="",'数据-汇总表'!E5,IF(INDIRECT("'数据-取费表'!c"&amp;$G$1)="住宅",INDIRECT("'数据-取费表'!k"&amp;$G$1),0))</f>
        <v>73964.140000000043</v>
      </c>
      <c r="E9" s="269">
        <f>'数据-取费表'!B27</f>
        <v>220</v>
      </c>
      <c r="F9" s="265"/>
      <c r="G9" s="270"/>
    </row>
    <row r="10" spans="1:8" s="258" customFormat="1" ht="13.5" customHeight="1">
      <c r="A10" s="950" t="s">
        <v>801</v>
      </c>
      <c r="B10" s="268" t="s">
        <v>2342</v>
      </c>
      <c r="C10" s="269">
        <f ca="1">ROUND(D10*E10,0)</f>
        <v>11764599</v>
      </c>
      <c r="D10" s="1032">
        <f ca="1">IF(B1="",'数据-汇总表'!E6,IF(INDIRECT("'数据-取费表'!c"&amp;$G$1)="住宅",INDIRECT("'数据-取费表'!s"&amp;$G$1),INDIRECT("'数据-取费表'!k"&amp;$G$1)+INDIRECT("'数据-取费表'!s"&amp;$G$1)))</f>
        <v>53475.449999999968</v>
      </c>
      <c r="E10" s="269">
        <f>'数据-取费表'!B28</f>
        <v>220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25487918</v>
      </c>
      <c r="D19" s="1036">
        <f ca="1">D9+D10</f>
        <v>127439.59000000001</v>
      </c>
      <c r="E19" s="255">
        <f>'数据-取费表'!B31</f>
        <v>200</v>
      </c>
      <c r="F19" s="275"/>
      <c r="G19" s="2550"/>
    </row>
    <row r="20" spans="1:7" s="258" customFormat="1" ht="13.5" customHeight="1">
      <c r="A20" s="299" t="s">
        <v>2436</v>
      </c>
      <c r="B20" s="254" t="s">
        <v>2437</v>
      </c>
      <c r="C20" s="276">
        <f ca="1">ROUND((C5+C19)*F20,0)</f>
        <v>1070493</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6648200</v>
      </c>
      <c r="D22" s="279">
        <f ca="1">C26</f>
        <v>1.1999999999999999E-3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3448901</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3135365</v>
      </c>
      <c r="D24" s="282"/>
      <c r="E24" s="282"/>
      <c r="F24" s="283"/>
      <c r="G24" s="284" t="s">
        <v>2448</v>
      </c>
    </row>
    <row r="25" spans="1:7" s="258" customFormat="1" ht="26">
      <c r="A25" s="951" t="s">
        <v>2338</v>
      </c>
      <c r="B25" s="259" t="s">
        <v>2449</v>
      </c>
      <c r="C25" s="1381">
        <f ca="1">ROUND(IF('数据-取费表'!B22&lt;=1,C20*F22*'数据-取费表'!B22/2,C20*(POWER((1+F22),'数据-取费表'!B22/2)-1)),0)</f>
        <v>63934</v>
      </c>
      <c r="D25" s="282"/>
      <c r="E25" s="285"/>
      <c r="F25" s="283"/>
      <c r="G25" s="286" t="s">
        <v>2450</v>
      </c>
    </row>
    <row r="26" spans="1:7" s="258" customFormat="1" ht="13">
      <c r="A26" s="951" t="s">
        <v>795</v>
      </c>
      <c r="B26" s="259" t="s">
        <v>2373</v>
      </c>
      <c r="C26" s="282">
        <f ca="1">ROUND(IF('数据-取费表'!B22&lt;=1,F21*F22*'数据-取费表'!B22/2,F21*(POWER((1+F22),'数据-取费表'!B22/2)-1)),4)</f>
        <v>1.1999999999999999E-3</v>
      </c>
      <c r="D26" s="282"/>
      <c r="E26" s="285"/>
      <c r="F26" s="283"/>
      <c r="G26" s="287"/>
    </row>
    <row r="27" spans="1:7" s="258" customFormat="1" ht="27">
      <c r="A27" s="299" t="s">
        <v>2374</v>
      </c>
      <c r="B27" s="288" t="s">
        <v>2375</v>
      </c>
      <c r="C27" s="289">
        <f ca="1">C28</f>
        <v>9827122</v>
      </c>
      <c r="D27" s="279">
        <f ca="1">C29</f>
        <v>3.5999999999999999E-3</v>
      </c>
      <c r="E27" s="280" t="s">
        <v>2376</v>
      </c>
      <c r="F27" s="290">
        <f ca="1">IF(B1="",'数据-取费表'!Q16,INDIRECT("'数据-取费表'!q"&amp;$G$1))</f>
        <v>0.18</v>
      </c>
      <c r="G27" s="291" t="s">
        <v>2377</v>
      </c>
    </row>
    <row r="28" spans="1:7" s="258" customFormat="1" ht="13.5" customHeight="1">
      <c r="A28" s="951" t="s">
        <v>791</v>
      </c>
      <c r="B28" s="292" t="s">
        <v>2378</v>
      </c>
      <c r="C28" s="293">
        <f ca="1">ROUND((C5+C19+C20)*F27,0)</f>
        <v>9827122</v>
      </c>
      <c r="D28" s="279"/>
      <c r="E28" s="280"/>
      <c r="F28" s="290"/>
      <c r="G28" s="291"/>
    </row>
    <row r="29" spans="1:7" s="258" customFormat="1" ht="13.5" customHeight="1">
      <c r="A29" s="951" t="s">
        <v>792</v>
      </c>
      <c r="B29" s="292" t="s">
        <v>2379</v>
      </c>
      <c r="C29" s="282">
        <f ca="1">ROUND(C21*F27,4)</f>
        <v>3.5999999999999999E-3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77091271</v>
      </c>
      <c r="D31" s="274"/>
      <c r="E31" s="255"/>
      <c r="F31" s="294"/>
      <c r="G31" s="278" t="s">
        <v>2384</v>
      </c>
    </row>
    <row r="32" spans="1:7" s="252" customFormat="1" ht="16">
      <c r="A32" s="296" t="s">
        <v>2451</v>
      </c>
      <c r="B32" s="297"/>
      <c r="C32" s="297"/>
      <c r="D32" s="297"/>
      <c r="E32" s="297"/>
      <c r="F32" s="297"/>
      <c r="G32" s="298"/>
    </row>
    <row r="33" spans="1:7" s="258" customFormat="1" ht="13.5" customHeight="1">
      <c r="A33" s="299" t="s">
        <v>782</v>
      </c>
      <c r="B33" s="254" t="s">
        <v>2452</v>
      </c>
      <c r="C33" s="300">
        <f ca="1">SUM(C34:C38)</f>
        <v>561699288</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494235585</v>
      </c>
      <c r="D34" s="261"/>
      <c r="E34" s="264"/>
      <c r="F34" s="301"/>
      <c r="G34" s="263"/>
    </row>
    <row r="35" spans="1:7" ht="13.5" customHeight="1">
      <c r="A35" s="951" t="s">
        <v>796</v>
      </c>
      <c r="B35" s="259" t="s">
        <v>2389</v>
      </c>
      <c r="C35" s="264">
        <f ca="1">ROUND(C34*F35,0)</f>
        <v>19769423</v>
      </c>
      <c r="D35" s="264"/>
      <c r="E35" s="264"/>
      <c r="F35" s="303">
        <f>'数据-取费表'!B33</f>
        <v>0.04</v>
      </c>
      <c r="G35" s="263" t="s">
        <v>2390</v>
      </c>
    </row>
    <row r="36" spans="1:7" ht="26">
      <c r="A36" s="951" t="s">
        <v>797</v>
      </c>
      <c r="B36" s="259" t="s">
        <v>2391</v>
      </c>
      <c r="C36" s="264">
        <f ca="1">ROUND(IF(B1="",SUM('数据-取费表'!AP6:AP13)*F36,IF(INDIRECT("'数据-取费表'!c"&amp;$G$1)="住宅",INDIRECT("'数据-取费表'!k"&amp;$G$1)*INDIRECT("'数据-取费表'!l"&amp;$G$1)*F36,0)),0)</f>
        <v>14792828</v>
      </c>
      <c r="D36" s="264"/>
      <c r="E36" s="264"/>
      <c r="F36" s="303">
        <f>'数据-取费表'!B34</f>
        <v>0.05</v>
      </c>
      <c r="G36" s="304" t="s">
        <v>2392</v>
      </c>
    </row>
    <row r="37" spans="1:7" s="302" customFormat="1" ht="13.5" customHeight="1">
      <c r="A37" s="951" t="s">
        <v>798</v>
      </c>
      <c r="B37" s="259" t="s">
        <v>2393</v>
      </c>
      <c r="C37" s="293">
        <f ca="1">ROUND(E37*D37,0)</f>
        <v>25487918</v>
      </c>
      <c r="D37" s="261">
        <f ca="1">D19</f>
        <v>127439.59000000001</v>
      </c>
      <c r="E37" s="293">
        <f>'数据-取费表'!B35</f>
        <v>200</v>
      </c>
      <c r="F37" s="303"/>
      <c r="G37" s="305"/>
    </row>
    <row r="38" spans="1:7" ht="13.5" customHeight="1">
      <c r="A38" s="951" t="s">
        <v>799</v>
      </c>
      <c r="B38" s="259" t="s">
        <v>2395</v>
      </c>
      <c r="C38" s="264">
        <f ca="1">ROUND(C34*F38,0)</f>
        <v>7413534</v>
      </c>
      <c r="D38" s="264"/>
      <c r="E38" s="264"/>
      <c r="F38" s="303">
        <f>'数据-取费表'!B36</f>
        <v>1.4999999999999999E-2</v>
      </c>
      <c r="G38" s="263" t="s">
        <v>2390</v>
      </c>
    </row>
    <row r="39" spans="1:7" s="258" customFormat="1" ht="13.5" customHeight="1">
      <c r="A39" s="299" t="s">
        <v>2396</v>
      </c>
      <c r="B39" s="254" t="s">
        <v>2397</v>
      </c>
      <c r="C39" s="276">
        <f ca="1">ROUND(C33*F20,0)</f>
        <v>11233986</v>
      </c>
      <c r="D39" s="276"/>
      <c r="E39" s="276"/>
      <c r="F39" s="277"/>
      <c r="G39" s="278" t="s">
        <v>2398</v>
      </c>
    </row>
    <row r="40" spans="1:7" s="258" customFormat="1" ht="13.5" customHeight="1">
      <c r="A40" s="299" t="s">
        <v>2399</v>
      </c>
      <c r="B40" s="254" t="s">
        <v>2400</v>
      </c>
      <c r="C40" s="1727">
        <f>F21</f>
        <v>0.02</v>
      </c>
      <c r="D40" s="280" t="s">
        <v>2401</v>
      </c>
      <c r="E40" s="276"/>
      <c r="F40" s="277"/>
      <c r="G40" s="278" t="s">
        <v>2402</v>
      </c>
    </row>
    <row r="41" spans="1:7" s="258" customFormat="1" ht="13.5" customHeight="1">
      <c r="A41" s="299" t="s">
        <v>2403</v>
      </c>
      <c r="B41" s="254" t="s">
        <v>2404</v>
      </c>
      <c r="C41" s="276">
        <f ca="1">ROUND(SUM(C42:C43),0)</f>
        <v>34217544</v>
      </c>
      <c r="D41" s="279">
        <f ca="1">C44</f>
        <v>1.1999999999999999E-3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33546612</v>
      </c>
      <c r="D42" s="282"/>
      <c r="E42" s="282"/>
      <c r="F42" s="283"/>
      <c r="G42" s="3167" t="s">
        <v>2453</v>
      </c>
    </row>
    <row r="43" spans="1:7" ht="13.5" customHeight="1">
      <c r="A43" s="951" t="s">
        <v>792</v>
      </c>
      <c r="B43" s="259" t="s">
        <v>2407</v>
      </c>
      <c r="C43" s="282">
        <f ca="1">ROUND(IF('数据-取费表'!B22&lt;=1,C39*F22*'数据-取费表'!B20/2,C39*(POWER((1+F22),'数据-取费表'!B20/2)-1)),0)</f>
        <v>670932</v>
      </c>
      <c r="D43" s="282"/>
      <c r="E43" s="282"/>
      <c r="F43" s="283"/>
      <c r="G43" s="3168"/>
    </row>
    <row r="44" spans="1:7" ht="13.5" customHeight="1">
      <c r="A44" s="951" t="s">
        <v>793</v>
      </c>
      <c r="B44" s="259" t="s">
        <v>2408</v>
      </c>
      <c r="C44" s="282">
        <f ca="1">ROUND(IF('数据-取费表'!B22&lt;=1,C40*F22*'数据-取费表'!B20/2,C40*(POWER((1+F22),'数据-取费表'!B20/2)-1)),4)</f>
        <v>1.1999999999999999E-3</v>
      </c>
      <c r="D44" s="282"/>
      <c r="E44" s="282"/>
      <c r="F44" s="283"/>
      <c r="G44" s="3169"/>
    </row>
    <row r="45" spans="1:7" s="258" customFormat="1" ht="13.5" customHeight="1">
      <c r="A45" s="299" t="s">
        <v>2409</v>
      </c>
      <c r="B45" s="288" t="s">
        <v>2375</v>
      </c>
      <c r="C45" s="289">
        <f ca="1">C46</f>
        <v>103127989</v>
      </c>
      <c r="D45" s="279">
        <f ca="1">C47</f>
        <v>3.5999999999999999E-3</v>
      </c>
      <c r="E45" s="280" t="s">
        <v>2401</v>
      </c>
      <c r="F45" s="290"/>
      <c r="G45" s="291" t="s">
        <v>2410</v>
      </c>
    </row>
    <row r="46" spans="1:7" s="258" customFormat="1" ht="13.5" customHeight="1">
      <c r="A46" s="951" t="s">
        <v>791</v>
      </c>
      <c r="B46" s="292" t="s">
        <v>2411</v>
      </c>
      <c r="C46" s="293">
        <f ca="1">ROUND((C33+C39)*F27,0)</f>
        <v>103127989</v>
      </c>
      <c r="D46" s="307"/>
      <c r="E46" s="280"/>
      <c r="F46" s="290"/>
      <c r="G46" s="291"/>
    </row>
    <row r="47" spans="1:7" s="258" customFormat="1" ht="13.5" customHeight="1">
      <c r="A47" s="951" t="s">
        <v>792</v>
      </c>
      <c r="B47" s="292" t="s">
        <v>2412</v>
      </c>
      <c r="C47" s="282">
        <f ca="1">ROUND(C40*F27,4)</f>
        <v>3.5999999999999999E-3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770451033</v>
      </c>
      <c r="D49" s="276"/>
      <c r="E49" s="276"/>
      <c r="F49" s="308"/>
      <c r="G49" s="278" t="s">
        <v>2416</v>
      </c>
    </row>
    <row r="50" spans="1:7" s="302" customFormat="1" ht="13.5">
      <c r="A50" s="299" t="s">
        <v>2417</v>
      </c>
      <c r="B50" s="254" t="s">
        <v>2418</v>
      </c>
      <c r="C50" s="276"/>
      <c r="D50" s="276"/>
      <c r="E50" s="276"/>
      <c r="F50" s="308">
        <f>IF('数据-取费表'!B24=0,'数据-取费表'!N16,1)</f>
        <v>1</v>
      </c>
      <c r="G50" s="291"/>
    </row>
    <row r="51" spans="1:7" ht="16.5" customHeight="1">
      <c r="A51" s="299" t="s">
        <v>2420</v>
      </c>
      <c r="B51" s="254" t="s">
        <v>2455</v>
      </c>
      <c r="C51" s="276">
        <f ca="1">ROUND(C49*F50,0)</f>
        <v>770451033</v>
      </c>
      <c r="D51" s="276"/>
      <c r="E51" s="276"/>
      <c r="F51" s="308"/>
      <c r="G51" s="278" t="s">
        <v>2422</v>
      </c>
    </row>
    <row r="52" spans="1:7" s="252" customFormat="1" ht="16.5" thickBot="1">
      <c r="A52" s="309" t="s">
        <v>2423</v>
      </c>
      <c r="B52" s="310"/>
      <c r="C52" s="311">
        <f ca="1">C31+C51</f>
        <v>847542304</v>
      </c>
      <c r="D52" s="310"/>
      <c r="E52" s="310"/>
      <c r="F52" s="310"/>
      <c r="G52" s="312"/>
    </row>
    <row r="55" spans="1:7" ht="15.5">
      <c r="B55" s="314" t="s">
        <v>2424</v>
      </c>
      <c r="C55" s="315"/>
    </row>
    <row r="56" spans="1:7" ht="13">
      <c r="B56" s="317" t="s">
        <v>1507</v>
      </c>
      <c r="C56" s="319">
        <f ca="1">1-C57</f>
        <v>9.099999999999997E-2</v>
      </c>
    </row>
    <row r="57" spans="1:7" ht="13">
      <c r="B57" s="317" t="s">
        <v>1508</v>
      </c>
      <c r="C57" s="318">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zoomScale="80" zoomScaleNormal="80" workbookViewId="0">
      <selection activeCell="M12" sqref="M12"/>
    </sheetView>
  </sheetViews>
  <sheetFormatPr defaultColWidth="9" defaultRowHeight="14"/>
  <cols>
    <col min="1" max="1" width="14.36328125" style="403" customWidth="1"/>
    <col min="2" max="2" width="15.81640625" style="403" customWidth="1"/>
    <col min="3" max="3" width="14.36328125" style="403" customWidth="1"/>
    <col min="4" max="4" width="14.089843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f>F66</f>
        <v>49306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f>ROUND(IF(D3="",B2*10000/'数据-汇总表'!E3,B2*10000/D3),0)</f>
        <v>3869</v>
      </c>
      <c r="C3" s="247" t="s">
        <v>2740</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c r="A4" s="401" t="s">
        <v>2639</v>
      </c>
      <c r="B4" s="402"/>
      <c r="C4" s="3174" t="s">
        <v>2640</v>
      </c>
      <c r="D4" s="3187"/>
      <c r="E4" s="3188" t="s">
        <v>2641</v>
      </c>
      <c r="F4" s="3189"/>
      <c r="G4" s="3174" t="s">
        <v>2642</v>
      </c>
      <c r="H4" s="3187"/>
      <c r="I4" s="3174" t="s">
        <v>2643</v>
      </c>
      <c r="J4" s="3187"/>
      <c r="K4" s="610" t="s">
        <v>2644</v>
      </c>
      <c r="L4" s="1130"/>
      <c r="M4" s="1131"/>
      <c r="N4" s="1131"/>
      <c r="O4" s="1131"/>
      <c r="P4" s="3190" t="s">
        <v>2645</v>
      </c>
      <c r="Q4" s="3191"/>
      <c r="R4" s="3196" t="s">
        <v>2641</v>
      </c>
      <c r="S4" s="3197"/>
      <c r="T4" s="3196" t="s">
        <v>2642</v>
      </c>
      <c r="U4" s="3197"/>
      <c r="V4" s="3183" t="s">
        <v>2643</v>
      </c>
      <c r="W4" s="3183"/>
      <c r="X4" s="1812"/>
      <c r="Y4" s="3196" t="s">
        <v>2645</v>
      </c>
      <c r="Z4" s="3197"/>
      <c r="AA4" s="3184" t="s">
        <v>2641</v>
      </c>
      <c r="AB4" s="3185" t="s">
        <v>2642</v>
      </c>
      <c r="AC4" s="3184" t="s">
        <v>2643</v>
      </c>
    </row>
    <row r="5" spans="1:30">
      <c r="A5" s="404"/>
      <c r="B5" s="405"/>
      <c r="C5" s="3204" t="s">
        <v>2536</v>
      </c>
      <c r="D5" s="3205"/>
      <c r="E5" s="3211" t="str">
        <f>土地案例!A2</f>
        <v>中心城区控规BP08-26和BP08-27地块</v>
      </c>
      <c r="F5" s="3212"/>
      <c r="G5" s="3204" t="str">
        <f>土地案例!A3</f>
        <v>中心城区控规BP06-26、BP06-28、BP06-30和BP06-32A地块</v>
      </c>
      <c r="H5" s="3205"/>
      <c r="I5" s="3204" t="str">
        <f>土地案例!A7</f>
        <v>吉阳片区控规A-39地块</v>
      </c>
      <c r="J5" s="3205"/>
      <c r="K5" s="610"/>
      <c r="L5" s="1130"/>
      <c r="M5" s="1131"/>
      <c r="N5" s="1131"/>
      <c r="O5" s="1131"/>
      <c r="P5" s="3192"/>
      <c r="Q5" s="3193"/>
      <c r="R5" s="3198"/>
      <c r="S5" s="3199"/>
      <c r="T5" s="3198"/>
      <c r="U5" s="3199"/>
      <c r="V5" s="3183"/>
      <c r="W5" s="3183"/>
      <c r="X5" s="1812"/>
      <c r="Y5" s="3198"/>
      <c r="Z5" s="3199"/>
      <c r="AA5" s="3185"/>
      <c r="AB5" s="3185"/>
      <c r="AC5" s="3185"/>
    </row>
    <row r="6" spans="1:30" ht="15" thickBot="1">
      <c r="A6" s="406"/>
      <c r="B6" s="407"/>
      <c r="C6" s="3202" t="s">
        <v>2540</v>
      </c>
      <c r="D6" s="3203"/>
      <c r="E6" s="3209" t="s">
        <v>2540</v>
      </c>
      <c r="F6" s="3210"/>
      <c r="G6" s="3202" t="s">
        <v>2540</v>
      </c>
      <c r="H6" s="3203"/>
      <c r="I6" s="3202" t="s">
        <v>2540</v>
      </c>
      <c r="J6" s="3203"/>
      <c r="K6" s="610" t="s">
        <v>2541</v>
      </c>
      <c r="L6" s="1130"/>
      <c r="M6" s="1131"/>
      <c r="N6" s="1131"/>
      <c r="O6" s="1131"/>
      <c r="P6" s="3194"/>
      <c r="Q6" s="3195"/>
      <c r="R6" s="3198"/>
      <c r="S6" s="3199"/>
      <c r="T6" s="3200"/>
      <c r="U6" s="3201"/>
      <c r="V6" s="3183"/>
      <c r="W6" s="3183"/>
      <c r="X6" s="1812"/>
      <c r="Y6" s="3200"/>
      <c r="Z6" s="3201"/>
      <c r="AA6" s="3186"/>
      <c r="AB6" s="3186"/>
      <c r="AC6" s="3186"/>
    </row>
    <row r="7" spans="1:30" s="117" customFormat="1" ht="14.5" thickBot="1">
      <c r="A7" s="408" t="s">
        <v>2542</v>
      </c>
      <c r="B7" s="409"/>
      <c r="C7" s="410">
        <f>'数据-取费表'!B2</f>
        <v>43879</v>
      </c>
      <c r="D7" s="411">
        <v>100</v>
      </c>
      <c r="E7" s="412" t="str">
        <f>土地案例!H2</f>
        <v>2019-09-30</v>
      </c>
      <c r="F7" s="413">
        <f>SUMIF(70:70,YEAR(E7)&amp;"-"&amp;INT((MONTH(E7)+2)/3),71:71)</f>
        <v>99</v>
      </c>
      <c r="G7" s="2696" t="str">
        <f>土地案例!H3</f>
        <v>2019-09-30</v>
      </c>
      <c r="H7" s="411">
        <f>SUMIF(70:70,YEAR(G7)&amp;"-"&amp;INT((MONTH(G7)+2)/3),71:71)</f>
        <v>99</v>
      </c>
      <c r="I7" s="2696" t="str">
        <f>土地案例!H7</f>
        <v>2017-07-10</v>
      </c>
      <c r="J7" s="411">
        <f>SUMIF(70:70,YEAR(I7)&amp;"-"&amp;INT((MONTH(I7)+2)/3),71:71)</f>
        <v>95</v>
      </c>
      <c r="K7" s="611"/>
      <c r="L7" s="1132"/>
      <c r="M7" s="1133"/>
      <c r="N7" s="1133"/>
      <c r="O7" s="1133"/>
      <c r="P7" s="3206" t="s">
        <v>2543</v>
      </c>
      <c r="Q7" s="3208"/>
      <c r="R7" s="770" t="s">
        <v>17</v>
      </c>
      <c r="S7" s="771">
        <f t="shared" ref="S7:S15" si="0">F7</f>
        <v>99</v>
      </c>
      <c r="T7" s="770" t="s">
        <v>17</v>
      </c>
      <c r="U7" s="771">
        <f t="shared" ref="U7:U15" si="1">H7</f>
        <v>99</v>
      </c>
      <c r="V7" s="770" t="s">
        <v>17</v>
      </c>
      <c r="W7" s="771">
        <f t="shared" ref="W7:W15" si="2">J7</f>
        <v>95</v>
      </c>
      <c r="X7" s="772"/>
      <c r="Y7" s="3206" t="s">
        <v>2543</v>
      </c>
      <c r="Z7" s="3207"/>
      <c r="AA7" s="773">
        <f>D7/F7</f>
        <v>1.0101010101010102</v>
      </c>
      <c r="AB7" s="773">
        <f>D7/H7</f>
        <v>1.0101010101010102</v>
      </c>
      <c r="AC7" s="773">
        <f>D7/J7</f>
        <v>1.0526315789473684</v>
      </c>
    </row>
    <row r="8" spans="1:30" s="117" customFormat="1" ht="14.5" thickBot="1">
      <c r="A8" s="408" t="s">
        <v>2544</v>
      </c>
      <c r="B8" s="409"/>
      <c r="C8" s="414" t="s">
        <v>2545</v>
      </c>
      <c r="D8" s="411">
        <v>100</v>
      </c>
      <c r="E8" s="414" t="s">
        <v>4713</v>
      </c>
      <c r="F8" s="413">
        <f>SUMIF(73:73,E8,74:74)-SUMIF(73:73,C8,74:74)+100</f>
        <v>100</v>
      </c>
      <c r="G8" s="414" t="s">
        <v>4713</v>
      </c>
      <c r="H8" s="411">
        <f>SUMIF(73:73,G8,74:74)-SUMIF(73:73,C8,74:74)+100</f>
        <v>100</v>
      </c>
      <c r="I8" s="414" t="s">
        <v>4713</v>
      </c>
      <c r="J8" s="411">
        <f>SUMIF(73:73,I8,74:74)-SUMIF(73:73,C8,74:74)+100</f>
        <v>100</v>
      </c>
      <c r="K8" s="611"/>
      <c r="L8" s="1132"/>
      <c r="M8" s="1133"/>
      <c r="N8" s="1133"/>
      <c r="O8" s="1133"/>
      <c r="P8" s="3206" t="s">
        <v>2546</v>
      </c>
      <c r="Q8" s="3207"/>
      <c r="R8" s="770" t="s">
        <v>17</v>
      </c>
      <c r="S8" s="771">
        <f t="shared" si="0"/>
        <v>100</v>
      </c>
      <c r="T8" s="770" t="s">
        <v>17</v>
      </c>
      <c r="U8" s="771">
        <f t="shared" si="1"/>
        <v>100</v>
      </c>
      <c r="V8" s="770" t="s">
        <v>17</v>
      </c>
      <c r="W8" s="771">
        <f t="shared" si="2"/>
        <v>100</v>
      </c>
      <c r="X8" s="772"/>
      <c r="Y8" s="3206" t="s">
        <v>2546</v>
      </c>
      <c r="Z8" s="3207"/>
      <c r="AA8" s="773">
        <f t="shared" ref="AA8:AA45" si="3">D8/F8</f>
        <v>1</v>
      </c>
      <c r="AB8" s="773">
        <f t="shared" ref="AB8:AB45" si="4">D8/H8</f>
        <v>1</v>
      </c>
      <c r="AC8" s="773">
        <f t="shared" ref="AC8:AC45" si="5">D8/J8</f>
        <v>1</v>
      </c>
    </row>
    <row r="9" spans="1:30" s="117" customFormat="1">
      <c r="A9" s="415" t="s">
        <v>2547</v>
      </c>
      <c r="B9" s="71" t="s">
        <v>2548</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77" t="s">
        <v>2549</v>
      </c>
      <c r="Q9" s="1794" t="str">
        <f t="shared" ref="Q9:Q15" si="6">B9</f>
        <v>用途</v>
      </c>
      <c r="R9" s="770" t="s">
        <v>17</v>
      </c>
      <c r="S9" s="771">
        <f t="shared" si="0"/>
        <v>100</v>
      </c>
      <c r="T9" s="770" t="s">
        <v>17</v>
      </c>
      <c r="U9" s="771">
        <f t="shared" si="1"/>
        <v>100</v>
      </c>
      <c r="V9" s="770" t="s">
        <v>17</v>
      </c>
      <c r="W9" s="771">
        <f t="shared" si="2"/>
        <v>100</v>
      </c>
      <c r="X9" s="772"/>
      <c r="Y9" s="3024" t="s">
        <v>2550</v>
      </c>
      <c r="Z9" s="55" t="str">
        <f t="shared" ref="Z9:Z15" si="7">Q9</f>
        <v>用途</v>
      </c>
      <c r="AA9" s="773">
        <f t="shared" si="3"/>
        <v>1</v>
      </c>
      <c r="AB9" s="773">
        <f t="shared" si="4"/>
        <v>1</v>
      </c>
      <c r="AC9" s="773">
        <f t="shared" si="5"/>
        <v>1</v>
      </c>
    </row>
    <row r="10" spans="1:30" s="427" customFormat="1" ht="28">
      <c r="A10" s="421"/>
      <c r="B10" s="422" t="s">
        <v>2551</v>
      </c>
      <c r="C10" s="432"/>
      <c r="D10" s="136">
        <v>100</v>
      </c>
      <c r="E10" s="465"/>
      <c r="F10" s="136">
        <f>ROUND(100/'数据-取费表'!G16,0)</f>
        <v>115</v>
      </c>
      <c r="G10" s="463"/>
      <c r="H10" s="136">
        <f>ROUND(100/'数据-取费表'!G16,0)</f>
        <v>115</v>
      </c>
      <c r="I10" s="463"/>
      <c r="J10" s="136">
        <f>ROUND(100/'数据-取费表'!G16,0)</f>
        <v>115</v>
      </c>
      <c r="K10" s="672"/>
      <c r="L10" s="1135"/>
      <c r="M10" s="1136"/>
      <c r="N10" s="1136"/>
      <c r="O10" s="1137"/>
      <c r="P10" s="3177"/>
      <c r="Q10" s="1794" t="str">
        <f t="shared" si="6"/>
        <v>土地使用年限（年）</v>
      </c>
      <c r="R10" s="770" t="s">
        <v>17</v>
      </c>
      <c r="S10" s="771">
        <f t="shared" si="0"/>
        <v>115</v>
      </c>
      <c r="T10" s="770" t="s">
        <v>17</v>
      </c>
      <c r="U10" s="771">
        <f t="shared" si="1"/>
        <v>115</v>
      </c>
      <c r="V10" s="770" t="s">
        <v>17</v>
      </c>
      <c r="W10" s="771">
        <f t="shared" si="2"/>
        <v>115</v>
      </c>
      <c r="X10" s="772"/>
      <c r="Y10" s="3024"/>
      <c r="Z10" s="55" t="str">
        <f t="shared" si="7"/>
        <v>土地使用年限（年）</v>
      </c>
      <c r="AA10" s="773">
        <f t="shared" si="3"/>
        <v>0.86956521739130432</v>
      </c>
      <c r="AB10" s="773">
        <f t="shared" si="4"/>
        <v>0.86956521739130432</v>
      </c>
      <c r="AC10" s="773">
        <f t="shared" si="5"/>
        <v>0.86956521739130432</v>
      </c>
    </row>
    <row r="11" spans="1:30" ht="15.5">
      <c r="A11" s="428"/>
      <c r="B11" s="422" t="s">
        <v>2552</v>
      </c>
      <c r="C11" s="429">
        <f>'数据-汇总表'!I4</f>
        <v>3.07</v>
      </c>
      <c r="D11" s="136">
        <v>100</v>
      </c>
      <c r="E11" s="429">
        <v>2.5</v>
      </c>
      <c r="F11" s="136">
        <f>LOOKUP(E11,80:80,81:81)-LOOKUP(C11,80:80,81:81)+100</f>
        <v>102</v>
      </c>
      <c r="G11" s="430">
        <v>2.5</v>
      </c>
      <c r="H11" s="136">
        <f>LOOKUP(G11,80:80,81:81)-LOOKUP(C11,80:80,81:81)+100</f>
        <v>102</v>
      </c>
      <c r="I11" s="429">
        <v>2</v>
      </c>
      <c r="J11" s="136">
        <f>LOOKUP(I11,80:80,81:81)-LOOKUP(C11,80:80,81:81)+100</f>
        <v>102</v>
      </c>
      <c r="K11" s="673">
        <v>2</v>
      </c>
      <c r="L11" s="1138"/>
      <c r="M11" s="1131"/>
      <c r="N11" s="1131"/>
      <c r="O11" s="1139"/>
      <c r="P11" s="3177"/>
      <c r="Q11" s="1794" t="str">
        <f t="shared" si="6"/>
        <v>容积率</v>
      </c>
      <c r="R11" s="770" t="s">
        <v>17</v>
      </c>
      <c r="S11" s="771">
        <f t="shared" si="0"/>
        <v>102</v>
      </c>
      <c r="T11" s="770" t="s">
        <v>17</v>
      </c>
      <c r="U11" s="771">
        <f t="shared" si="1"/>
        <v>102</v>
      </c>
      <c r="V11" s="770" t="s">
        <v>17</v>
      </c>
      <c r="W11" s="771">
        <f t="shared" si="2"/>
        <v>102</v>
      </c>
      <c r="X11" s="772"/>
      <c r="Y11" s="3024"/>
      <c r="Z11" s="55" t="str">
        <f t="shared" si="7"/>
        <v>容积率</v>
      </c>
      <c r="AA11" s="773">
        <f t="shared" si="3"/>
        <v>0.98039215686274506</v>
      </c>
      <c r="AB11" s="773">
        <f t="shared" si="4"/>
        <v>0.98039215686274506</v>
      </c>
      <c r="AC11" s="773">
        <f t="shared" si="5"/>
        <v>0.98039215686274506</v>
      </c>
    </row>
    <row r="12" spans="1:30" s="117" customFormat="1" ht="15.5">
      <c r="A12" s="431"/>
      <c r="B12" s="2600" t="s">
        <v>2741</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7"/>
      <c r="Q12" s="1794" t="str">
        <f t="shared" si="6"/>
        <v>配建</v>
      </c>
      <c r="R12" s="770" t="s">
        <v>17</v>
      </c>
      <c r="S12" s="771">
        <f t="shared" si="0"/>
        <v>100</v>
      </c>
      <c r="T12" s="770" t="s">
        <v>17</v>
      </c>
      <c r="U12" s="771">
        <f t="shared" si="1"/>
        <v>100</v>
      </c>
      <c r="V12" s="770" t="s">
        <v>17</v>
      </c>
      <c r="W12" s="771">
        <f t="shared" si="2"/>
        <v>100</v>
      </c>
      <c r="X12" s="772"/>
      <c r="Y12" s="3024"/>
      <c r="Z12" s="55" t="str">
        <f t="shared" si="7"/>
        <v>配建</v>
      </c>
      <c r="AA12" s="773">
        <f>D12/F12</f>
        <v>1</v>
      </c>
      <c r="AB12" s="773">
        <f>D12/H12</f>
        <v>1</v>
      </c>
      <c r="AC12" s="773">
        <f>D12/J12</f>
        <v>1</v>
      </c>
    </row>
    <row r="13" spans="1:30" ht="15.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7"/>
      <c r="Q13" s="1794">
        <f t="shared" si="6"/>
        <v>111</v>
      </c>
      <c r="R13" s="770" t="s">
        <v>17</v>
      </c>
      <c r="S13" s="771">
        <f t="shared" si="0"/>
        <v>100</v>
      </c>
      <c r="T13" s="770" t="s">
        <v>17</v>
      </c>
      <c r="U13" s="771">
        <f t="shared" si="1"/>
        <v>100</v>
      </c>
      <c r="V13" s="770" t="s">
        <v>17</v>
      </c>
      <c r="W13" s="771">
        <f t="shared" si="2"/>
        <v>100</v>
      </c>
      <c r="X13" s="772"/>
      <c r="Y13" s="3024"/>
      <c r="Z13" s="55">
        <f t="shared" si="7"/>
        <v>111</v>
      </c>
      <c r="AA13" s="773">
        <f>D13/F13</f>
        <v>1</v>
      </c>
      <c r="AB13" s="773">
        <f>D13/H13</f>
        <v>1</v>
      </c>
      <c r="AC13" s="773">
        <f>D13/J13</f>
        <v>1</v>
      </c>
    </row>
    <row r="14" spans="1:30" ht="16"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7"/>
      <c r="Q14" s="1794">
        <f t="shared" si="6"/>
        <v>111</v>
      </c>
      <c r="R14" s="770" t="s">
        <v>17</v>
      </c>
      <c r="S14" s="771">
        <f t="shared" si="0"/>
        <v>100</v>
      </c>
      <c r="T14" s="770" t="s">
        <v>17</v>
      </c>
      <c r="U14" s="771">
        <f t="shared" si="1"/>
        <v>100</v>
      </c>
      <c r="V14" s="770" t="s">
        <v>17</v>
      </c>
      <c r="W14" s="771">
        <f t="shared" si="2"/>
        <v>100</v>
      </c>
      <c r="X14" s="772"/>
      <c r="Y14" s="3024"/>
      <c r="Z14" s="55">
        <f t="shared" si="7"/>
        <v>111</v>
      </c>
      <c r="AA14" s="773">
        <f>D14/F14</f>
        <v>1</v>
      </c>
      <c r="AB14" s="773">
        <f>D14/H14</f>
        <v>1</v>
      </c>
      <c r="AC14" s="773">
        <f>D14/J14</f>
        <v>1</v>
      </c>
    </row>
    <row r="15" spans="1:30" ht="98">
      <c r="A15" s="440" t="s">
        <v>2553</v>
      </c>
      <c r="B15" s="69" t="s">
        <v>2082</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9" t="s">
        <v>2554</v>
      </c>
      <c r="Q15" s="1809" t="str">
        <f t="shared" si="6"/>
        <v>居住社区成熟度</v>
      </c>
      <c r="R15" s="774" t="s">
        <v>17</v>
      </c>
      <c r="S15" s="775">
        <f t="shared" si="0"/>
        <v>100</v>
      </c>
      <c r="T15" s="774" t="s">
        <v>17</v>
      </c>
      <c r="U15" s="775">
        <f t="shared" si="1"/>
        <v>100</v>
      </c>
      <c r="V15" s="774" t="s">
        <v>17</v>
      </c>
      <c r="W15" s="775">
        <f t="shared" si="2"/>
        <v>100</v>
      </c>
      <c r="X15" s="1812"/>
      <c r="Y15" s="3179" t="s">
        <v>2554</v>
      </c>
      <c r="Z15" s="1813" t="str">
        <f t="shared" si="7"/>
        <v>居住社区成熟度</v>
      </c>
      <c r="AA15" s="1810">
        <f t="shared" si="3"/>
        <v>1</v>
      </c>
      <c r="AB15" s="1810">
        <f t="shared" si="4"/>
        <v>1</v>
      </c>
      <c r="AC15" s="1810">
        <f t="shared" si="5"/>
        <v>1</v>
      </c>
    </row>
    <row r="16" spans="1:30" ht="15.5">
      <c r="A16" s="428"/>
      <c r="B16" s="446"/>
      <c r="C16" s="447"/>
      <c r="D16" s="448"/>
      <c r="E16" s="2605"/>
      <c r="F16" s="448"/>
      <c r="G16" s="2605"/>
      <c r="H16" s="450"/>
      <c r="I16" s="2604"/>
      <c r="J16" s="448"/>
      <c r="K16" s="672"/>
      <c r="L16" s="1140"/>
      <c r="M16" s="1131"/>
      <c r="N16" s="1131"/>
      <c r="O16" s="1139"/>
      <c r="P16" s="3180"/>
      <c r="Q16" s="1809"/>
      <c r="R16" s="774"/>
      <c r="S16" s="775"/>
      <c r="T16" s="774"/>
      <c r="U16" s="775"/>
      <c r="V16" s="774"/>
      <c r="W16" s="775"/>
      <c r="X16" s="1812"/>
      <c r="Y16" s="3180"/>
      <c r="Z16" s="1813"/>
      <c r="AA16" s="1810">
        <v>1</v>
      </c>
      <c r="AB16" s="1810">
        <v>1</v>
      </c>
      <c r="AC16" s="1810">
        <v>1</v>
      </c>
    </row>
    <row r="17" spans="1:29" ht="84">
      <c r="A17" s="428"/>
      <c r="B17" s="451" t="s">
        <v>2647</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0"/>
      <c r="Q17" s="1809" t="str">
        <f>B17</f>
        <v>商业繁华度</v>
      </c>
      <c r="R17" s="774" t="s">
        <v>17</v>
      </c>
      <c r="S17" s="775">
        <f>F17</f>
        <v>100</v>
      </c>
      <c r="T17" s="774" t="s">
        <v>17</v>
      </c>
      <c r="U17" s="775">
        <f>H17</f>
        <v>100</v>
      </c>
      <c r="V17" s="774" t="s">
        <v>17</v>
      </c>
      <c r="W17" s="775">
        <f>J17</f>
        <v>100</v>
      </c>
      <c r="X17" s="1812"/>
      <c r="Y17" s="3180"/>
      <c r="Z17" s="1813" t="str">
        <f>Q17</f>
        <v>商业繁华度</v>
      </c>
      <c r="AA17" s="1810">
        <f t="shared" si="3"/>
        <v>1</v>
      </c>
      <c r="AB17" s="1810">
        <f t="shared" si="4"/>
        <v>1</v>
      </c>
      <c r="AC17" s="1810">
        <f t="shared" si="5"/>
        <v>1</v>
      </c>
    </row>
    <row r="18" spans="1:29" ht="15.5">
      <c r="A18" s="428"/>
      <c r="B18" s="456"/>
      <c r="C18" s="2608"/>
      <c r="D18" s="450"/>
      <c r="E18" s="2610"/>
      <c r="F18" s="450"/>
      <c r="G18" s="2610"/>
      <c r="H18" s="448"/>
      <c r="I18" s="2609"/>
      <c r="J18" s="448"/>
      <c r="K18" s="672"/>
      <c r="L18" s="1140"/>
      <c r="M18" s="1131"/>
      <c r="N18" s="1131"/>
      <c r="O18" s="1139"/>
      <c r="P18" s="3180"/>
      <c r="Q18" s="1809"/>
      <c r="R18" s="774"/>
      <c r="S18" s="775"/>
      <c r="T18" s="774"/>
      <c r="U18" s="775"/>
      <c r="V18" s="774"/>
      <c r="W18" s="775"/>
      <c r="X18" s="1812"/>
      <c r="Y18" s="3180"/>
      <c r="Z18" s="1813"/>
      <c r="AA18" s="1810">
        <v>1</v>
      </c>
      <c r="AB18" s="1810">
        <v>1</v>
      </c>
      <c r="AC18" s="1810">
        <v>1</v>
      </c>
    </row>
    <row r="19" spans="1:29" ht="84">
      <c r="A19" s="428"/>
      <c r="B19" s="451" t="s">
        <v>2681</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0"/>
      <c r="Q19" s="1809" t="str">
        <f>B19</f>
        <v>办公集聚程度</v>
      </c>
      <c r="R19" s="774" t="s">
        <v>17</v>
      </c>
      <c r="S19" s="775">
        <f>F19</f>
        <v>100</v>
      </c>
      <c r="T19" s="774" t="s">
        <v>17</v>
      </c>
      <c r="U19" s="775">
        <f>H19</f>
        <v>100</v>
      </c>
      <c r="V19" s="774" t="s">
        <v>17</v>
      </c>
      <c r="W19" s="775">
        <f>J19</f>
        <v>100</v>
      </c>
      <c r="X19" s="1812"/>
      <c r="Y19" s="3180"/>
      <c r="Z19" s="1813" t="str">
        <f>Q19</f>
        <v>办公集聚程度</v>
      </c>
      <c r="AA19" s="1810">
        <f t="shared" si="3"/>
        <v>1</v>
      </c>
      <c r="AB19" s="1810">
        <f t="shared" si="4"/>
        <v>1</v>
      </c>
      <c r="AC19" s="1810">
        <f t="shared" si="5"/>
        <v>1</v>
      </c>
    </row>
    <row r="20" spans="1:29" ht="15.5">
      <c r="A20" s="428"/>
      <c r="B20" s="456"/>
      <c r="C20" s="447"/>
      <c r="D20" s="448"/>
      <c r="E20" s="2605"/>
      <c r="F20" s="448"/>
      <c r="G20" s="2605"/>
      <c r="H20" s="448"/>
      <c r="I20" s="2604"/>
      <c r="J20" s="448"/>
      <c r="K20" s="672"/>
      <c r="L20" s="1140"/>
      <c r="M20" s="1131"/>
      <c r="N20" s="1131"/>
      <c r="O20" s="1139"/>
      <c r="P20" s="3180"/>
      <c r="Q20" s="1809"/>
      <c r="R20" s="774"/>
      <c r="S20" s="775"/>
      <c r="T20" s="774"/>
      <c r="U20" s="775"/>
      <c r="V20" s="774"/>
      <c r="W20" s="775"/>
      <c r="X20" s="1812"/>
      <c r="Y20" s="3180"/>
      <c r="Z20" s="1813"/>
      <c r="AA20" s="1810">
        <v>1</v>
      </c>
      <c r="AB20" s="1810">
        <v>1</v>
      </c>
      <c r="AC20" s="1810">
        <v>1</v>
      </c>
    </row>
    <row r="21" spans="1:29" ht="98">
      <c r="A21" s="428"/>
      <c r="B21" s="451" t="s">
        <v>2703</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0"/>
      <c r="Q21" s="1809" t="str">
        <f>B21</f>
        <v>交通便捷度</v>
      </c>
      <c r="R21" s="774" t="s">
        <v>17</v>
      </c>
      <c r="S21" s="775">
        <f>F21</f>
        <v>100</v>
      </c>
      <c r="T21" s="774" t="s">
        <v>17</v>
      </c>
      <c r="U21" s="775">
        <f>H21</f>
        <v>100</v>
      </c>
      <c r="V21" s="774" t="s">
        <v>17</v>
      </c>
      <c r="W21" s="775">
        <f>J21</f>
        <v>100</v>
      </c>
      <c r="X21" s="1812"/>
      <c r="Y21" s="3180"/>
      <c r="Z21" s="1813" t="str">
        <f>Q21</f>
        <v>交通便捷度</v>
      </c>
      <c r="AA21" s="1810">
        <f t="shared" si="3"/>
        <v>1</v>
      </c>
      <c r="AB21" s="1810">
        <f t="shared" si="4"/>
        <v>1</v>
      </c>
      <c r="AC21" s="1810">
        <f t="shared" si="5"/>
        <v>1</v>
      </c>
    </row>
    <row r="22" spans="1:29" ht="15.5">
      <c r="A22" s="428"/>
      <c r="B22" s="1384"/>
      <c r="C22" s="447"/>
      <c r="D22" s="450"/>
      <c r="E22" s="2605"/>
      <c r="F22" s="448"/>
      <c r="G22" s="2605"/>
      <c r="H22" s="448"/>
      <c r="I22" s="2604"/>
      <c r="J22" s="448"/>
      <c r="K22" s="672"/>
      <c r="L22" s="1140"/>
      <c r="M22" s="1131"/>
      <c r="N22" s="1131"/>
      <c r="O22" s="1139"/>
      <c r="P22" s="3180"/>
      <c r="Q22" s="1809"/>
      <c r="R22" s="774"/>
      <c r="S22" s="775"/>
      <c r="T22" s="774"/>
      <c r="U22" s="775"/>
      <c r="V22" s="774"/>
      <c r="W22" s="775"/>
      <c r="X22" s="1812"/>
      <c r="Y22" s="3180"/>
      <c r="Z22" s="1813"/>
      <c r="AA22" s="1810">
        <v>1</v>
      </c>
      <c r="AB22" s="1810">
        <v>1</v>
      </c>
      <c r="AC22" s="1810">
        <v>1</v>
      </c>
    </row>
    <row r="23" spans="1:29" ht="28">
      <c r="A23" s="404"/>
      <c r="B23" s="451" t="s">
        <v>2742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0"/>
      <c r="Q23" s="1809" t="str">
        <f t="shared" ref="Q23:Q37" si="8">B23</f>
        <v>区域土地利用方向</v>
      </c>
      <c r="R23" s="774" t="s">
        <v>17</v>
      </c>
      <c r="S23" s="775">
        <f>F23</f>
        <v>100</v>
      </c>
      <c r="T23" s="774" t="s">
        <v>17</v>
      </c>
      <c r="U23" s="775">
        <f>H23</f>
        <v>100</v>
      </c>
      <c r="V23" s="774" t="s">
        <v>17</v>
      </c>
      <c r="W23" s="775">
        <f>J23</f>
        <v>100</v>
      </c>
      <c r="X23" s="1812"/>
      <c r="Y23" s="3180"/>
      <c r="Z23" s="1813" t="str">
        <f>Q23</f>
        <v>区域土地利用方向</v>
      </c>
      <c r="AA23" s="1810">
        <f t="shared" si="3"/>
        <v>1</v>
      </c>
      <c r="AB23" s="1810">
        <f t="shared" si="4"/>
        <v>1</v>
      </c>
      <c r="AC23" s="1810">
        <f t="shared" si="5"/>
        <v>1</v>
      </c>
    </row>
    <row r="24" spans="1:29" ht="15.5">
      <c r="A24" s="404"/>
      <c r="B24" s="456"/>
      <c r="C24" s="616"/>
      <c r="D24" s="448"/>
      <c r="E24" s="2605"/>
      <c r="F24" s="448"/>
      <c r="G24" s="2604"/>
      <c r="H24" s="448"/>
      <c r="I24" s="2604"/>
      <c r="J24" s="448"/>
      <c r="K24" s="812"/>
      <c r="L24" s="1140"/>
      <c r="M24" s="1131"/>
      <c r="N24" s="1131"/>
      <c r="O24" s="1139"/>
      <c r="P24" s="3180"/>
      <c r="Q24" s="1809"/>
      <c r="R24" s="774"/>
      <c r="S24" s="775"/>
      <c r="T24" s="774"/>
      <c r="U24" s="775"/>
      <c r="V24" s="774"/>
      <c r="W24" s="775"/>
      <c r="X24" s="1812"/>
      <c r="Y24" s="3180"/>
      <c r="Z24" s="1813"/>
      <c r="AA24" s="1810"/>
      <c r="AB24" s="1810"/>
      <c r="AC24" s="1810"/>
    </row>
    <row r="25" spans="1:29" ht="56">
      <c r="A25" s="404"/>
      <c r="B25" s="1384" t="s">
        <v>2743</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0"/>
      <c r="Q25" s="1809" t="str">
        <f t="shared" si="8"/>
        <v>自然及人文环境状况</v>
      </c>
      <c r="R25" s="774" t="s">
        <v>17</v>
      </c>
      <c r="S25" s="775">
        <f>F25</f>
        <v>100</v>
      </c>
      <c r="T25" s="774" t="s">
        <v>17</v>
      </c>
      <c r="U25" s="775">
        <f>H25</f>
        <v>100</v>
      </c>
      <c r="V25" s="774" t="s">
        <v>17</v>
      </c>
      <c r="W25" s="775">
        <f>J25</f>
        <v>100</v>
      </c>
      <c r="X25" s="1812"/>
      <c r="Y25" s="3180"/>
      <c r="Z25" s="1813" t="str">
        <f>Q25</f>
        <v>自然及人文环境状况</v>
      </c>
      <c r="AA25" s="1810">
        <f t="shared" si="3"/>
        <v>1</v>
      </c>
      <c r="AB25" s="1810">
        <f t="shared" si="4"/>
        <v>1</v>
      </c>
      <c r="AC25" s="1810">
        <f t="shared" si="5"/>
        <v>1</v>
      </c>
    </row>
    <row r="26" spans="1:29" ht="15.5">
      <c r="A26" s="404"/>
      <c r="B26" s="456"/>
      <c r="C26" s="447"/>
      <c r="D26" s="448"/>
      <c r="E26" s="2611"/>
      <c r="F26" s="448"/>
      <c r="G26" s="2611"/>
      <c r="H26" s="448"/>
      <c r="I26" s="447"/>
      <c r="J26" s="448"/>
      <c r="K26" s="672"/>
      <c r="L26" s="1140"/>
      <c r="M26" s="1131"/>
      <c r="N26" s="1131"/>
      <c r="O26" s="1139"/>
      <c r="P26" s="3180"/>
      <c r="Q26" s="1809"/>
      <c r="R26" s="774"/>
      <c r="S26" s="775"/>
      <c r="T26" s="774"/>
      <c r="U26" s="775"/>
      <c r="V26" s="774"/>
      <c r="W26" s="775"/>
      <c r="X26" s="1812"/>
      <c r="Y26" s="3180"/>
      <c r="Z26" s="1813"/>
      <c r="AA26" s="1810">
        <v>1</v>
      </c>
      <c r="AB26" s="1810">
        <v>1</v>
      </c>
      <c r="AC26" s="1810">
        <v>1</v>
      </c>
    </row>
    <row r="27" spans="1:29" s="117" customFormat="1" ht="42">
      <c r="A27" s="649"/>
      <c r="B27" s="1384" t="s">
        <v>2648</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0"/>
      <c r="Q27" s="1794" t="str">
        <f t="shared" si="8"/>
        <v>公共配套设施</v>
      </c>
      <c r="R27" s="770" t="s">
        <v>17</v>
      </c>
      <c r="S27" s="771">
        <f>F27</f>
        <v>100</v>
      </c>
      <c r="T27" s="770" t="s">
        <v>17</v>
      </c>
      <c r="U27" s="771">
        <f>H27</f>
        <v>100</v>
      </c>
      <c r="V27" s="770" t="s">
        <v>17</v>
      </c>
      <c r="W27" s="771">
        <f>J27</f>
        <v>100</v>
      </c>
      <c r="X27" s="772"/>
      <c r="Y27" s="3180"/>
      <c r="Z27" s="55" t="str">
        <f>Q27</f>
        <v>公共配套设施</v>
      </c>
      <c r="AA27" s="1810">
        <f>D27/F27</f>
        <v>1</v>
      </c>
      <c r="AB27" s="1810">
        <f>D27/H27</f>
        <v>1</v>
      </c>
      <c r="AC27" s="1810">
        <f>D27/J27</f>
        <v>1</v>
      </c>
    </row>
    <row r="28" spans="1:29" s="117" customFormat="1" ht="15.5">
      <c r="A28" s="649"/>
      <c r="B28" s="456"/>
      <c r="C28" s="2700"/>
      <c r="D28" s="448"/>
      <c r="E28" s="2611"/>
      <c r="F28" s="448"/>
      <c r="G28" s="2611"/>
      <c r="H28" s="448"/>
      <c r="I28" s="447"/>
      <c r="J28" s="448"/>
      <c r="K28" s="672"/>
      <c r="L28" s="1132"/>
      <c r="M28" s="1133"/>
      <c r="N28" s="1133"/>
      <c r="O28" s="1134"/>
      <c r="P28" s="3180"/>
      <c r="Q28" s="1794"/>
      <c r="R28" s="770"/>
      <c r="S28" s="771"/>
      <c r="T28" s="770"/>
      <c r="U28" s="771"/>
      <c r="V28" s="770"/>
      <c r="W28" s="771"/>
      <c r="X28" s="772"/>
      <c r="Y28" s="3180"/>
      <c r="Z28" s="55"/>
      <c r="AA28" s="1810">
        <v>1</v>
      </c>
      <c r="AB28" s="1810">
        <v>1</v>
      </c>
      <c r="AC28" s="1810">
        <v>1</v>
      </c>
    </row>
    <row r="29" spans="1:29" s="117" customFormat="1" ht="42">
      <c r="A29" s="649"/>
      <c r="B29" s="1384" t="s">
        <v>2649</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0"/>
      <c r="Q29" s="1794" t="str">
        <f>B29</f>
        <v>基础设施水平</v>
      </c>
      <c r="R29" s="770" t="s">
        <v>17</v>
      </c>
      <c r="S29" s="771">
        <f>F29</f>
        <v>100</v>
      </c>
      <c r="T29" s="770" t="s">
        <v>17</v>
      </c>
      <c r="U29" s="771">
        <f>H29</f>
        <v>100</v>
      </c>
      <c r="V29" s="770" t="s">
        <v>17</v>
      </c>
      <c r="W29" s="771">
        <f>J29</f>
        <v>100</v>
      </c>
      <c r="X29" s="772"/>
      <c r="Y29" s="3180"/>
      <c r="Z29" s="55" t="str">
        <f>Q29</f>
        <v>基础设施水平</v>
      </c>
      <c r="AA29" s="1810">
        <f>D29/F29</f>
        <v>1</v>
      </c>
      <c r="AB29" s="1810">
        <f>D29/H29</f>
        <v>1</v>
      </c>
      <c r="AC29" s="1810">
        <f>D29/J29</f>
        <v>1</v>
      </c>
    </row>
    <row r="30" spans="1:29" s="117" customFormat="1" ht="15.5">
      <c r="A30" s="649"/>
      <c r="B30" s="456"/>
      <c r="C30" s="2700"/>
      <c r="D30" s="448"/>
      <c r="E30" s="2701"/>
      <c r="F30" s="448"/>
      <c r="G30" s="2701"/>
      <c r="H30" s="448"/>
      <c r="I30" s="2701"/>
      <c r="J30" s="448"/>
      <c r="K30" s="672"/>
      <c r="L30" s="1132"/>
      <c r="M30" s="1133"/>
      <c r="N30" s="1133"/>
      <c r="O30" s="1134"/>
      <c r="P30" s="3180"/>
      <c r="Q30" s="1794"/>
      <c r="R30" s="770"/>
      <c r="S30" s="771"/>
      <c r="T30" s="770"/>
      <c r="U30" s="771"/>
      <c r="V30" s="770"/>
      <c r="W30" s="771"/>
      <c r="X30" s="772"/>
      <c r="Y30" s="3180"/>
      <c r="Z30" s="55"/>
      <c r="AA30" s="1810">
        <v>1</v>
      </c>
      <c r="AB30" s="1810">
        <v>1</v>
      </c>
      <c r="AC30" s="1810">
        <v>1</v>
      </c>
    </row>
    <row r="31" spans="1:29" ht="15.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0"/>
      <c r="Q31" s="1809" t="str">
        <f t="shared" si="8"/>
        <v>临街状况</v>
      </c>
      <c r="R31" s="774" t="s">
        <v>17</v>
      </c>
      <c r="S31" s="775">
        <f t="shared" ref="S31:S45" si="9">F31</f>
        <v>100</v>
      </c>
      <c r="T31" s="774" t="s">
        <v>17</v>
      </c>
      <c r="U31" s="775">
        <f t="shared" ref="U31:U45" si="10">H31</f>
        <v>100</v>
      </c>
      <c r="V31" s="774" t="s">
        <v>17</v>
      </c>
      <c r="W31" s="775">
        <f t="shared" ref="W31:W45" si="11">J31</f>
        <v>100</v>
      </c>
      <c r="X31" s="1812"/>
      <c r="Y31" s="3180"/>
      <c r="Z31" s="1813" t="str">
        <f t="shared" ref="Z31:Z45" si="12">Q31</f>
        <v>临街状况</v>
      </c>
      <c r="AA31" s="1810">
        <f t="shared" si="3"/>
        <v>1</v>
      </c>
      <c r="AB31" s="1810">
        <f t="shared" si="4"/>
        <v>1</v>
      </c>
      <c r="AC31" s="1810">
        <f t="shared" si="5"/>
        <v>1</v>
      </c>
    </row>
    <row r="32" spans="1:29" ht="28">
      <c r="A32" s="428"/>
      <c r="B32" s="1384"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0"/>
      <c r="Q32" s="1809" t="str">
        <f t="shared" si="8"/>
        <v>毗邻道路的类型与等级</v>
      </c>
      <c r="R32" s="774" t="s">
        <v>17</v>
      </c>
      <c r="S32" s="775">
        <f t="shared" si="9"/>
        <v>100</v>
      </c>
      <c r="T32" s="774" t="s">
        <v>17</v>
      </c>
      <c r="U32" s="775">
        <f t="shared" si="10"/>
        <v>100</v>
      </c>
      <c r="V32" s="774" t="s">
        <v>17</v>
      </c>
      <c r="W32" s="775">
        <f t="shared" si="11"/>
        <v>100</v>
      </c>
      <c r="X32" s="1812"/>
      <c r="Y32" s="3180"/>
      <c r="Z32" s="1813" t="str">
        <f t="shared" si="12"/>
        <v>毗邻道路的类型与等级</v>
      </c>
      <c r="AA32" s="1810">
        <f t="shared" si="3"/>
        <v>1</v>
      </c>
      <c r="AB32" s="1810">
        <f t="shared" si="4"/>
        <v>1</v>
      </c>
      <c r="AC32" s="1810">
        <f t="shared" si="5"/>
        <v>1</v>
      </c>
    </row>
    <row r="33" spans="1:29" ht="15.5">
      <c r="A33" s="428"/>
      <c r="B33" s="456"/>
      <c r="C33" s="447"/>
      <c r="D33" s="448"/>
      <c r="E33" s="2611"/>
      <c r="F33" s="448"/>
      <c r="G33" s="2611"/>
      <c r="H33" s="448"/>
      <c r="I33" s="447"/>
      <c r="J33" s="448"/>
      <c r="K33" s="613"/>
      <c r="L33" s="1140"/>
      <c r="M33" s="1131"/>
      <c r="N33" s="1131"/>
      <c r="O33" s="1139"/>
      <c r="P33" s="3180"/>
      <c r="Q33" s="1809"/>
      <c r="R33" s="774"/>
      <c r="S33" s="775"/>
      <c r="T33" s="774"/>
      <c r="U33" s="775"/>
      <c r="V33" s="774"/>
      <c r="W33" s="775"/>
      <c r="X33" s="1812"/>
      <c r="Y33" s="3180"/>
      <c r="Z33" s="1813"/>
      <c r="AA33" s="1810">
        <v>1</v>
      </c>
      <c r="AB33" s="1810">
        <v>1</v>
      </c>
      <c r="AC33" s="1810">
        <v>1</v>
      </c>
    </row>
    <row r="34" spans="1:29" ht="15.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0"/>
      <c r="Q34" s="1809" t="str">
        <f t="shared" si="8"/>
        <v>土地级别</v>
      </c>
      <c r="R34" s="774" t="s">
        <v>17</v>
      </c>
      <c r="S34" s="775">
        <f t="shared" si="9"/>
        <v>100</v>
      </c>
      <c r="T34" s="774" t="s">
        <v>17</v>
      </c>
      <c r="U34" s="775">
        <f t="shared" si="10"/>
        <v>100</v>
      </c>
      <c r="V34" s="774" t="s">
        <v>17</v>
      </c>
      <c r="W34" s="775">
        <f t="shared" si="11"/>
        <v>100</v>
      </c>
      <c r="X34" s="1812"/>
      <c r="Y34" s="3180"/>
      <c r="Z34" s="1813" t="str">
        <f t="shared" si="12"/>
        <v>土地级别</v>
      </c>
      <c r="AA34" s="1810">
        <f t="shared" si="3"/>
        <v>1</v>
      </c>
      <c r="AB34" s="1810">
        <f t="shared" si="4"/>
        <v>1</v>
      </c>
      <c r="AC34" s="1810">
        <f t="shared" si="5"/>
        <v>1</v>
      </c>
    </row>
    <row r="35" spans="1:29" ht="15.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0"/>
      <c r="Q35" s="1809">
        <f t="shared" si="8"/>
        <v>111</v>
      </c>
      <c r="R35" s="774" t="s">
        <v>17</v>
      </c>
      <c r="S35" s="775">
        <f t="shared" si="9"/>
        <v>100</v>
      </c>
      <c r="T35" s="774" t="s">
        <v>17</v>
      </c>
      <c r="U35" s="775">
        <f t="shared" si="10"/>
        <v>100</v>
      </c>
      <c r="V35" s="774" t="s">
        <v>17</v>
      </c>
      <c r="W35" s="775">
        <f t="shared" si="11"/>
        <v>100</v>
      </c>
      <c r="X35" s="1812"/>
      <c r="Y35" s="3180"/>
      <c r="Z35" s="1813">
        <f t="shared" si="12"/>
        <v>111</v>
      </c>
      <c r="AA35" s="1810">
        <f t="shared" si="3"/>
        <v>1</v>
      </c>
      <c r="AB35" s="1810">
        <f t="shared" si="4"/>
        <v>1</v>
      </c>
      <c r="AC35" s="1810">
        <f t="shared" si="5"/>
        <v>1</v>
      </c>
    </row>
    <row r="36" spans="1:29" ht="15.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1" t="s">
        <v>2559</v>
      </c>
      <c r="Q36" s="1809">
        <f t="shared" si="8"/>
        <v>111</v>
      </c>
      <c r="R36" s="774" t="s">
        <v>17</v>
      </c>
      <c r="S36" s="775">
        <f t="shared" si="9"/>
        <v>100</v>
      </c>
      <c r="T36" s="774" t="s">
        <v>17</v>
      </c>
      <c r="U36" s="775">
        <f t="shared" si="10"/>
        <v>100</v>
      </c>
      <c r="V36" s="774" t="s">
        <v>17</v>
      </c>
      <c r="W36" s="775">
        <f t="shared" si="11"/>
        <v>100</v>
      </c>
      <c r="X36" s="1812"/>
      <c r="Y36" s="3182" t="s">
        <v>2559</v>
      </c>
      <c r="Z36" s="1813">
        <f t="shared" si="12"/>
        <v>111</v>
      </c>
      <c r="AA36" s="1810">
        <f t="shared" si="3"/>
        <v>1</v>
      </c>
      <c r="AB36" s="1810">
        <f t="shared" si="4"/>
        <v>1</v>
      </c>
      <c r="AC36" s="1810">
        <f t="shared" si="5"/>
        <v>1</v>
      </c>
    </row>
    <row r="37" spans="1:29" s="471" customFormat="1" ht="1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2"/>
      <c r="Q37" s="1809">
        <f t="shared" si="8"/>
        <v>111</v>
      </c>
      <c r="R37" s="777" t="s">
        <v>17</v>
      </c>
      <c r="S37" s="778">
        <f t="shared" si="9"/>
        <v>100</v>
      </c>
      <c r="T37" s="777" t="s">
        <v>17</v>
      </c>
      <c r="U37" s="778">
        <f t="shared" si="10"/>
        <v>100</v>
      </c>
      <c r="V37" s="777" t="s">
        <v>17</v>
      </c>
      <c r="W37" s="778">
        <f t="shared" si="11"/>
        <v>100</v>
      </c>
      <c r="X37" s="779"/>
      <c r="Y37" s="3182"/>
      <c r="Z37" s="780">
        <f t="shared" si="12"/>
        <v>111</v>
      </c>
      <c r="AA37" s="1810">
        <f t="shared" si="3"/>
        <v>1</v>
      </c>
      <c r="AB37" s="1810">
        <f t="shared" si="4"/>
        <v>1</v>
      </c>
      <c r="AC37" s="1810">
        <f t="shared" si="5"/>
        <v>1</v>
      </c>
    </row>
    <row r="38" spans="1:29" ht="15.5">
      <c r="A38" s="472" t="s">
        <v>2557</v>
      </c>
      <c r="B38" s="456" t="s">
        <v>2745</v>
      </c>
      <c r="C38" s="679">
        <f>'数据-基础表'!A3</f>
        <v>86105.96</v>
      </c>
      <c r="D38" s="467">
        <v>100</v>
      </c>
      <c r="E38" s="679">
        <f>土地案例!D2</f>
        <v>66444.58</v>
      </c>
      <c r="F38" s="467">
        <f>LOOKUP(E38,117:117,118:118)-LOOKUP(C38,117:117,118:118)+100</f>
        <v>100</v>
      </c>
      <c r="G38" s="679">
        <f>土地案例!D3</f>
        <v>75431.77</v>
      </c>
      <c r="H38" s="467">
        <f>LOOKUP(G38,117:117,118:118)-LOOKUP(C38,117:117,118:118)+100</f>
        <v>100</v>
      </c>
      <c r="I38" s="530">
        <f>土地案例!D7</f>
        <v>19550.96</v>
      </c>
      <c r="J38" s="467">
        <f>LOOKUP(I38,117:117,118:118)-LOOKUP(C38,117:117,118:118)+100</f>
        <v>98</v>
      </c>
      <c r="K38" s="613"/>
      <c r="L38" s="1140"/>
      <c r="M38" s="1131"/>
      <c r="N38" s="1131"/>
      <c r="O38" s="1139"/>
      <c r="P38" s="3182"/>
      <c r="Q38" s="1809" t="str">
        <f>B38</f>
        <v>宗地面积</v>
      </c>
      <c r="R38" s="774" t="s">
        <v>17</v>
      </c>
      <c r="S38" s="775">
        <f t="shared" si="9"/>
        <v>100</v>
      </c>
      <c r="T38" s="774" t="s">
        <v>17</v>
      </c>
      <c r="U38" s="775">
        <f t="shared" si="10"/>
        <v>100</v>
      </c>
      <c r="V38" s="774" t="s">
        <v>17</v>
      </c>
      <c r="W38" s="775">
        <f t="shared" si="11"/>
        <v>98</v>
      </c>
      <c r="X38" s="1812"/>
      <c r="Y38" s="3182"/>
      <c r="Z38" s="1813" t="str">
        <f t="shared" si="12"/>
        <v>宗地面积</v>
      </c>
      <c r="AA38" s="1810">
        <f t="shared" si="3"/>
        <v>1</v>
      </c>
      <c r="AB38" s="1810">
        <f t="shared" si="4"/>
        <v>1</v>
      </c>
      <c r="AC38" s="1810">
        <f t="shared" si="5"/>
        <v>1.0204081632653061</v>
      </c>
    </row>
    <row r="39" spans="1:29" ht="15.5">
      <c r="A39" s="472"/>
      <c r="B39" s="422" t="s">
        <v>2746</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182"/>
      <c r="Q39" s="1809" t="str">
        <f t="shared" ref="Q39:Q45" si="13">B39</f>
        <v>宗地形状</v>
      </c>
      <c r="R39" s="774" t="s">
        <v>17</v>
      </c>
      <c r="S39" s="775">
        <f t="shared" si="9"/>
        <v>100</v>
      </c>
      <c r="T39" s="774" t="s">
        <v>17</v>
      </c>
      <c r="U39" s="775">
        <f t="shared" si="10"/>
        <v>100</v>
      </c>
      <c r="V39" s="774" t="s">
        <v>17</v>
      </c>
      <c r="W39" s="775">
        <f t="shared" si="11"/>
        <v>100</v>
      </c>
      <c r="X39" s="1812"/>
      <c r="Y39" s="3182"/>
      <c r="Z39" s="1813" t="str">
        <f t="shared" si="12"/>
        <v>宗地形状</v>
      </c>
      <c r="AA39" s="1810">
        <f t="shared" si="3"/>
        <v>1</v>
      </c>
      <c r="AB39" s="1810">
        <f t="shared" si="4"/>
        <v>1</v>
      </c>
      <c r="AC39" s="1810">
        <f t="shared" si="5"/>
        <v>1</v>
      </c>
    </row>
    <row r="40" spans="1:29" ht="15.5">
      <c r="A40" s="472"/>
      <c r="B40" s="422" t="s">
        <v>2747</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182"/>
      <c r="Q40" s="1809" t="str">
        <f t="shared" si="13"/>
        <v>临街宽度及深度</v>
      </c>
      <c r="R40" s="774" t="s">
        <v>17</v>
      </c>
      <c r="S40" s="775">
        <f t="shared" si="9"/>
        <v>100</v>
      </c>
      <c r="T40" s="774" t="s">
        <v>17</v>
      </c>
      <c r="U40" s="775">
        <f t="shared" si="10"/>
        <v>100</v>
      </c>
      <c r="V40" s="774" t="s">
        <v>17</v>
      </c>
      <c r="W40" s="775">
        <f t="shared" si="11"/>
        <v>100</v>
      </c>
      <c r="X40" s="1812"/>
      <c r="Y40" s="3182"/>
      <c r="Z40" s="1813" t="str">
        <f t="shared" si="12"/>
        <v>临街宽度及深度</v>
      </c>
      <c r="AA40" s="1810">
        <f t="shared" si="3"/>
        <v>1</v>
      </c>
      <c r="AB40" s="1810">
        <f t="shared" si="4"/>
        <v>1</v>
      </c>
      <c r="AC40" s="1810">
        <f t="shared" si="5"/>
        <v>1</v>
      </c>
    </row>
    <row r="41" spans="1:29" s="117" customFormat="1" ht="15.5">
      <c r="A41" s="473"/>
      <c r="B41" s="422" t="s">
        <v>2748</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182"/>
      <c r="Q41" s="1809" t="str">
        <f t="shared" si="13"/>
        <v>宗地开发程度</v>
      </c>
      <c r="R41" s="770" t="s">
        <v>17</v>
      </c>
      <c r="S41" s="771">
        <f t="shared" si="9"/>
        <v>100</v>
      </c>
      <c r="T41" s="770" t="s">
        <v>17</v>
      </c>
      <c r="U41" s="771">
        <f t="shared" si="10"/>
        <v>100</v>
      </c>
      <c r="V41" s="770" t="s">
        <v>17</v>
      </c>
      <c r="W41" s="771">
        <f t="shared" si="11"/>
        <v>100</v>
      </c>
      <c r="X41" s="772"/>
      <c r="Y41" s="3182"/>
      <c r="Z41" s="55" t="str">
        <f t="shared" si="12"/>
        <v>宗地开发程度</v>
      </c>
      <c r="AA41" s="773">
        <f t="shared" si="3"/>
        <v>1</v>
      </c>
      <c r="AB41" s="773">
        <f t="shared" si="4"/>
        <v>1</v>
      </c>
      <c r="AC41" s="773">
        <f t="shared" si="5"/>
        <v>1</v>
      </c>
    </row>
    <row r="42" spans="1:29" ht="15.5">
      <c r="A42" s="472"/>
      <c r="B42" s="422" t="s">
        <v>2749</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182" t="s">
        <v>2559</v>
      </c>
      <c r="Q42" s="1809" t="str">
        <f t="shared" si="13"/>
        <v>工程地质条件</v>
      </c>
      <c r="R42" s="774" t="s">
        <v>17</v>
      </c>
      <c r="S42" s="775">
        <f t="shared" si="9"/>
        <v>100</v>
      </c>
      <c r="T42" s="774" t="s">
        <v>17</v>
      </c>
      <c r="U42" s="775">
        <f t="shared" si="10"/>
        <v>100</v>
      </c>
      <c r="V42" s="774" t="s">
        <v>17</v>
      </c>
      <c r="W42" s="775">
        <f t="shared" si="11"/>
        <v>100</v>
      </c>
      <c r="X42" s="1812"/>
      <c r="Y42" s="3182" t="s">
        <v>2559</v>
      </c>
      <c r="Z42" s="1813" t="str">
        <f t="shared" si="12"/>
        <v>工程地质条件</v>
      </c>
      <c r="AA42" s="1810">
        <f t="shared" si="3"/>
        <v>1</v>
      </c>
      <c r="AB42" s="1810">
        <f t="shared" si="4"/>
        <v>1</v>
      </c>
      <c r="AC42" s="1810">
        <f t="shared" si="5"/>
        <v>1</v>
      </c>
    </row>
    <row r="43" spans="1:29" ht="15.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2"/>
      <c r="Q43" s="1809">
        <f t="shared" si="13"/>
        <v>111</v>
      </c>
      <c r="R43" s="774" t="s">
        <v>17</v>
      </c>
      <c r="S43" s="775">
        <f t="shared" si="9"/>
        <v>100</v>
      </c>
      <c r="T43" s="774" t="s">
        <v>17</v>
      </c>
      <c r="U43" s="775">
        <f t="shared" si="10"/>
        <v>100</v>
      </c>
      <c r="V43" s="774" t="s">
        <v>17</v>
      </c>
      <c r="W43" s="775">
        <f t="shared" si="11"/>
        <v>100</v>
      </c>
      <c r="X43" s="1812"/>
      <c r="Y43" s="3182"/>
      <c r="Z43" s="1813">
        <f t="shared" si="12"/>
        <v>111</v>
      </c>
      <c r="AA43" s="1810">
        <f t="shared" si="3"/>
        <v>1</v>
      </c>
      <c r="AB43" s="1810">
        <f t="shared" si="4"/>
        <v>1</v>
      </c>
      <c r="AC43" s="1810">
        <f t="shared" si="5"/>
        <v>1</v>
      </c>
    </row>
    <row r="44" spans="1:29" ht="15.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2"/>
      <c r="Q44" s="1809">
        <f t="shared" si="13"/>
        <v>111</v>
      </c>
      <c r="R44" s="774" t="s">
        <v>17</v>
      </c>
      <c r="S44" s="775">
        <f t="shared" si="9"/>
        <v>100</v>
      </c>
      <c r="T44" s="774" t="s">
        <v>17</v>
      </c>
      <c r="U44" s="775">
        <f t="shared" si="10"/>
        <v>100</v>
      </c>
      <c r="V44" s="774" t="s">
        <v>17</v>
      </c>
      <c r="W44" s="775">
        <f t="shared" si="11"/>
        <v>100</v>
      </c>
      <c r="X44" s="1812"/>
      <c r="Y44" s="3182"/>
      <c r="Z44" s="1813">
        <f t="shared" si="12"/>
        <v>111</v>
      </c>
      <c r="AA44" s="1810">
        <f t="shared" si="3"/>
        <v>1</v>
      </c>
      <c r="AB44" s="1810">
        <f t="shared" si="4"/>
        <v>1</v>
      </c>
      <c r="AC44" s="1810">
        <f t="shared" si="5"/>
        <v>1</v>
      </c>
    </row>
    <row r="45" spans="1:29" s="471" customFormat="1" ht="16"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2"/>
      <c r="Q45" s="1809">
        <f t="shared" si="13"/>
        <v>111</v>
      </c>
      <c r="R45" s="777" t="s">
        <v>17</v>
      </c>
      <c r="S45" s="778">
        <f t="shared" si="9"/>
        <v>100</v>
      </c>
      <c r="T45" s="777" t="s">
        <v>17</v>
      </c>
      <c r="U45" s="778">
        <f t="shared" si="10"/>
        <v>100</v>
      </c>
      <c r="V45" s="777" t="s">
        <v>17</v>
      </c>
      <c r="W45" s="778">
        <f t="shared" si="11"/>
        <v>100</v>
      </c>
      <c r="X45" s="779"/>
      <c r="Y45" s="3182"/>
      <c r="Z45" s="780">
        <f t="shared" si="12"/>
        <v>111</v>
      </c>
      <c r="AA45" s="1810">
        <f t="shared" si="3"/>
        <v>1</v>
      </c>
      <c r="AB45" s="1810">
        <f t="shared" si="4"/>
        <v>1</v>
      </c>
      <c r="AC45" s="1810">
        <f t="shared" si="5"/>
        <v>1</v>
      </c>
    </row>
    <row r="46" spans="1:29">
      <c r="A46" s="479" t="s">
        <v>2714</v>
      </c>
      <c r="B46" s="2704" t="s">
        <v>2750</v>
      </c>
      <c r="C46" s="682" t="s">
        <v>1</v>
      </c>
      <c r="D46" s="481"/>
      <c r="E46" s="482">
        <f>ROUND(土地案例!K2,0)</f>
        <v>4765</v>
      </c>
      <c r="F46" s="483"/>
      <c r="G46" s="484">
        <f>ROUND(土地案例!K3,0)</f>
        <v>4643</v>
      </c>
      <c r="H46" s="485"/>
      <c r="I46" s="482">
        <f>ROUND(土地案例!K7,0)</f>
        <v>3830</v>
      </c>
      <c r="J46" s="485"/>
      <c r="K46" s="783"/>
      <c r="L46" s="1143"/>
      <c r="M46" s="1144"/>
      <c r="N46" s="1131"/>
      <c r="O46" s="1144"/>
      <c r="P46" s="3177" t="str">
        <f>A46</f>
        <v>成交单价</v>
      </c>
      <c r="Q46" s="3177"/>
      <c r="R46" s="3183">
        <f>E46</f>
        <v>4765</v>
      </c>
      <c r="S46" s="3183"/>
      <c r="T46" s="3183">
        <f>G46</f>
        <v>4643</v>
      </c>
      <c r="U46" s="3183"/>
      <c r="V46" s="3183">
        <f>I46</f>
        <v>3830</v>
      </c>
      <c r="W46" s="3183"/>
      <c r="X46" s="759"/>
      <c r="Y46" s="781"/>
      <c r="Z46" s="759"/>
      <c r="AA46" s="759"/>
      <c r="AB46" s="759"/>
      <c r="AC46" s="759"/>
    </row>
    <row r="47" spans="1:29" ht="14.5" thickBot="1">
      <c r="A47" s="486" t="s">
        <v>2663</v>
      </c>
      <c r="B47" s="683"/>
      <c r="C47" s="490">
        <f>R48</f>
        <v>3869</v>
      </c>
      <c r="D47" s="489"/>
      <c r="E47" s="490">
        <f>R47</f>
        <v>4103</v>
      </c>
      <c r="F47" s="491"/>
      <c r="G47" s="488">
        <f>T47</f>
        <v>3998</v>
      </c>
      <c r="H47" s="489"/>
      <c r="I47" s="490">
        <f>V47</f>
        <v>3507</v>
      </c>
      <c r="J47" s="489"/>
      <c r="K47" s="784"/>
      <c r="L47" s="1143"/>
      <c r="M47" s="1144"/>
      <c r="N47" s="1144"/>
      <c r="O47" s="1144"/>
      <c r="P47" s="3177" t="str">
        <f>A47</f>
        <v>比较价值（元/平方米）</v>
      </c>
      <c r="Q47" s="3177"/>
      <c r="R47" s="3170">
        <f>ROUND(PRODUCT(R46,AA7:AA45),0)</f>
        <v>4103</v>
      </c>
      <c r="S47" s="3170"/>
      <c r="T47" s="3170">
        <f>ROUND(PRODUCT(T46,AB7:AB45),0)</f>
        <v>3998</v>
      </c>
      <c r="U47" s="3170"/>
      <c r="V47" s="3170">
        <f>ROUND(PRODUCT(V46,AC7:AC45),0)</f>
        <v>3507</v>
      </c>
      <c r="W47" s="3170"/>
      <c r="X47" s="759"/>
      <c r="Y47" s="759"/>
      <c r="Z47" s="759"/>
      <c r="AA47" s="759"/>
      <c r="AB47" s="759"/>
      <c r="AC47" s="759"/>
    </row>
    <row r="48" spans="1:29" ht="14.5" thickBot="1">
      <c r="A48" s="492" t="s">
        <v>2751</v>
      </c>
      <c r="B48" s="493"/>
      <c r="C48" s="494">
        <f>R48</f>
        <v>3869</v>
      </c>
      <c r="D48" s="494"/>
      <c r="E48" s="494"/>
      <c r="F48" s="494"/>
      <c r="G48" s="494"/>
      <c r="H48" s="494"/>
      <c r="I48" s="494"/>
      <c r="J48" s="494"/>
      <c r="K48" s="785"/>
      <c r="L48" s="1143"/>
      <c r="M48" s="1144"/>
      <c r="N48" s="1144"/>
      <c r="O48" s="1144"/>
      <c r="P48" s="3171" t="str">
        <f>A48</f>
        <v>估价对象XX用房的比较价值（楼面单价，元/平方米）</v>
      </c>
      <c r="Q48" s="3172"/>
      <c r="R48" s="3173">
        <f>ROUND(AVERAGE(R47:V47),0)</f>
        <v>3869</v>
      </c>
      <c r="S48" s="3173"/>
      <c r="T48" s="3173"/>
      <c r="U48" s="3173"/>
      <c r="V48" s="3173"/>
      <c r="W48" s="317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2665</v>
      </c>
      <c r="D51" s="498"/>
      <c r="E51" s="499">
        <f>IF(E46&lt;E47,E47/E46-1,E46/E47-1)</f>
        <v>0.16134535705581277</v>
      </c>
      <c r="F51" s="500" t="str">
        <f>IF(OR(E51&gt;=0.3,E51&lt;=-0.3),"超过30%","")</f>
        <v/>
      </c>
      <c r="G51" s="499">
        <f>IF(G46&lt;G47,G47/G46-1,G46/G47-1)</f>
        <v>0.16133066533266627</v>
      </c>
      <c r="H51" s="500" t="str">
        <f>IF(OR(G51&gt;=0.3,G51&lt;=-0.3),"超过30%","")</f>
        <v/>
      </c>
      <c r="I51" s="499">
        <f>IF(I46&lt;I47,I47/I46-1,I46/I47-1)</f>
        <v>9.2101511263187996E-2</v>
      </c>
      <c r="J51" s="500" t="str">
        <f>IF(OR(I51&gt;=0.3,I51&lt;=-0.3),"超过30%","")</f>
        <v/>
      </c>
      <c r="K51" s="1105"/>
      <c r="L51" s="1106"/>
      <c r="M51" s="1144"/>
      <c r="N51" s="1144"/>
      <c r="O51" s="1144"/>
    </row>
    <row r="52" spans="1:15" ht="13.5" customHeight="1">
      <c r="A52" s="1144"/>
      <c r="B52" s="1144"/>
      <c r="C52" s="497" t="s">
        <v>2666</v>
      </c>
      <c r="D52" s="501"/>
      <c r="E52" s="499">
        <f>IF(E47&lt;G47,G47/E47-1,E47/G47-1)</f>
        <v>2.626313156578286E-2</v>
      </c>
      <c r="F52" s="500" t="str">
        <f>IF(OR(E52&gt;=0.2,E52&lt;=-0.2),"超过20%","")</f>
        <v/>
      </c>
      <c r="G52" s="499">
        <f>IF(G47&lt;I47,I47/G47-1,G47/I47-1)</f>
        <v>0.1400057028799544</v>
      </c>
      <c r="H52" s="500" t="str">
        <f>IF(OR(G52&gt;=0.2,G52&lt;=-0.2),"超过20%","")</f>
        <v/>
      </c>
      <c r="I52" s="499">
        <f>IF(I47&lt;E47,E47/I47-1,I47/E47-1)</f>
        <v>0.16994582264043334</v>
      </c>
      <c r="J52" s="500" t="str">
        <f>IF(OR(I52&gt;=0.2,I52&lt;=-0.2),"超过20%","")</f>
        <v/>
      </c>
      <c r="K52" s="1105"/>
      <c r="L52" s="1106"/>
      <c r="M52" s="1144"/>
      <c r="N52" s="1144"/>
      <c r="O52" s="1144"/>
    </row>
    <row r="53" spans="1:15" s="502" customFormat="1" ht="13.5" customHeight="1">
      <c r="A53" s="1145"/>
      <c r="B53" s="1145"/>
      <c r="C53" s="497" t="s">
        <v>2667</v>
      </c>
      <c r="D53" s="501"/>
      <c r="E53" s="499">
        <f>IF(E46&lt;G46,G46/E46-1,E46/G46-1)</f>
        <v>2.6276114581089915E-2</v>
      </c>
      <c r="F53" s="500" t="str">
        <f>IF(OR(E53&gt;=0.3,E53&lt;=-0.3),"超过30%","")</f>
        <v/>
      </c>
      <c r="G53" s="499">
        <f>IF(G46&lt;I46,I46/G46-1,G46/I46-1)</f>
        <v>0.21227154046997398</v>
      </c>
      <c r="H53" s="500" t="str">
        <f>IF(OR(G53&gt;=0.3,G53&lt;=-0.3),"超过30%","")</f>
        <v/>
      </c>
      <c r="I53" s="499">
        <f>IF(I46&lt;E46,E46/I46-1,I46/E46-1)</f>
        <v>0.24412532637075723</v>
      </c>
      <c r="J53" s="500" t="str">
        <f>IF(OR(I53&gt;=0.3,I53&lt;=-0.3),"超过30%","")</f>
        <v/>
      </c>
      <c r="K53" s="1148"/>
      <c r="L53" s="1149"/>
      <c r="M53" s="1145"/>
      <c r="N53" s="1145"/>
      <c r="O53" s="1145"/>
    </row>
    <row r="54" spans="1:15" s="502" customFormat="1" ht="14.5" thickBot="1">
      <c r="A54" s="1145"/>
      <c r="B54" s="1146"/>
      <c r="C54" s="762"/>
      <c r="D54" s="760"/>
      <c r="E54" s="760"/>
      <c r="F54" s="760"/>
      <c r="G54" s="760"/>
      <c r="H54" s="760"/>
      <c r="I54" s="760"/>
      <c r="J54" s="760"/>
      <c r="K54" s="1148"/>
      <c r="L54" s="1149"/>
      <c r="M54" s="1145"/>
      <c r="N54" s="1145"/>
      <c r="O54" s="1145"/>
    </row>
    <row r="55" spans="1:15" ht="27" customHeight="1">
      <c r="A55" s="684" t="s">
        <v>2752</v>
      </c>
      <c r="B55" s="685" t="s">
        <v>2753</v>
      </c>
      <c r="C55" s="2705" t="s">
        <v>2754</v>
      </c>
      <c r="D55" s="2706" t="s">
        <v>2755</v>
      </c>
      <c r="E55" s="686" t="s">
        <v>2756</v>
      </c>
      <c r="F55" s="1107" t="s">
        <v>2757</v>
      </c>
      <c r="G55" s="3174" t="s">
        <v>2758</v>
      </c>
      <c r="H55" s="3175"/>
      <c r="I55" s="144" t="s">
        <v>2759</v>
      </c>
      <c r="J55" s="2707">
        <f>项目基本情况!F35</f>
        <v>0</v>
      </c>
      <c r="K55" s="2708" t="s">
        <v>2760</v>
      </c>
      <c r="L55" s="1106"/>
      <c r="M55" s="1144"/>
      <c r="N55" s="1144"/>
      <c r="O55" s="1144"/>
    </row>
    <row r="56" spans="1:15" s="692" customFormat="1">
      <c r="A56" s="688" t="s">
        <v>2761</v>
      </c>
      <c r="B56" s="689">
        <f>C48</f>
        <v>3869</v>
      </c>
      <c r="C56" s="690">
        <v>1</v>
      </c>
      <c r="D56" s="1163">
        <v>1</v>
      </c>
      <c r="E56" s="690">
        <f>'数据-汇总表'!E8+'数据-汇总表'!E9</f>
        <v>127439.59000000001</v>
      </c>
      <c r="F56" s="1103">
        <f t="shared" ref="F56:F65" si="14">ROUND(B56*E56/10000,0)</f>
        <v>49306</v>
      </c>
      <c r="G56" s="3176"/>
      <c r="H56" s="3177"/>
      <c r="I56" s="1108">
        <v>1</v>
      </c>
      <c r="J56" s="1111">
        <v>1</v>
      </c>
      <c r="K56" s="1145"/>
      <c r="L56" s="941"/>
      <c r="M56" s="941"/>
      <c r="N56" s="941"/>
      <c r="O56" s="941"/>
    </row>
    <row r="57" spans="1:15" s="692" customFormat="1">
      <c r="A57" s="693" t="s">
        <v>2762</v>
      </c>
      <c r="B57" s="262">
        <f>ROUND($C$48*C57*D57,0)</f>
        <v>0</v>
      </c>
      <c r="C57" s="200">
        <f t="shared" ref="C57:C65" si="15">IF($C$55="北京市系数",I57,J57)</f>
        <v>0</v>
      </c>
      <c r="D57" s="1164">
        <v>0.25</v>
      </c>
      <c r="E57" s="694"/>
      <c r="F57" s="1103">
        <f t="shared" si="14"/>
        <v>0</v>
      </c>
      <c r="G57" s="3178" t="s">
        <v>2763</v>
      </c>
      <c r="H57" s="1104">
        <f>项目基本情况!B37</f>
        <v>0</v>
      </c>
      <c r="I57" s="1108">
        <f>SUMIF(修正!A45:A56,H57,修正!B45:B56)</f>
        <v>0</v>
      </c>
      <c r="J57" s="1112"/>
      <c r="K57" s="1144"/>
      <c r="L57" s="941"/>
      <c r="M57" s="941"/>
      <c r="N57" s="941"/>
      <c r="O57" s="941"/>
    </row>
    <row r="58" spans="1:15" s="692" customFormat="1">
      <c r="A58" s="693" t="s">
        <v>2764</v>
      </c>
      <c r="B58" s="262">
        <f t="shared" ref="B58:B65" si="16">ROUND($C$48*C58*D58,0)</f>
        <v>0</v>
      </c>
      <c r="C58" s="200">
        <f t="shared" si="15"/>
        <v>0</v>
      </c>
      <c r="D58" s="1164">
        <v>0.25</v>
      </c>
      <c r="E58" s="694"/>
      <c r="F58" s="1103">
        <f t="shared" si="14"/>
        <v>0</v>
      </c>
      <c r="G58" s="3178"/>
      <c r="H58" s="1104">
        <f>项目基本情况!B37</f>
        <v>0</v>
      </c>
      <c r="I58" s="1108">
        <f>SUMIF(修正!A45:A56,H58,修正!C45:C56)</f>
        <v>0</v>
      </c>
      <c r="J58" s="1112"/>
      <c r="K58" s="1145"/>
      <c r="L58" s="941"/>
      <c r="M58" s="941"/>
      <c r="N58" s="941"/>
      <c r="O58" s="941"/>
    </row>
    <row r="59" spans="1:15" s="692" customFormat="1">
      <c r="A59" s="693" t="s">
        <v>2765</v>
      </c>
      <c r="B59" s="262">
        <f t="shared" si="16"/>
        <v>0</v>
      </c>
      <c r="C59" s="200">
        <f t="shared" si="15"/>
        <v>0</v>
      </c>
      <c r="D59" s="1164">
        <v>0.25</v>
      </c>
      <c r="E59" s="694"/>
      <c r="F59" s="1103">
        <f t="shared" si="14"/>
        <v>0</v>
      </c>
      <c r="G59" s="3178"/>
      <c r="H59" s="1104">
        <f>项目基本情况!B37</f>
        <v>0</v>
      </c>
      <c r="I59" s="1108">
        <f>SUMIF(修正!A45:A56,H59,修正!D45:D56)</f>
        <v>0</v>
      </c>
      <c r="J59" s="1112"/>
      <c r="K59" s="1144"/>
      <c r="L59" s="941"/>
      <c r="M59" s="941"/>
      <c r="N59" s="941"/>
      <c r="O59" s="941"/>
    </row>
    <row r="60" spans="1:15" s="692" customFormat="1">
      <c r="A60" s="693" t="s">
        <v>2766</v>
      </c>
      <c r="B60" s="262">
        <f t="shared" si="16"/>
        <v>0</v>
      </c>
      <c r="C60" s="200">
        <f t="shared" si="15"/>
        <v>0</v>
      </c>
      <c r="D60" s="1164">
        <v>0.25</v>
      </c>
      <c r="E60" s="694"/>
      <c r="F60" s="1103">
        <f t="shared" si="14"/>
        <v>0</v>
      </c>
      <c r="G60" s="3178"/>
      <c r="H60" s="1104">
        <f>项目基本情况!B37</f>
        <v>0</v>
      </c>
      <c r="I60" s="1108">
        <f>SUMIF(修正!A45:A56,H60,修正!E45:E56)</f>
        <v>0</v>
      </c>
      <c r="J60" s="1112"/>
      <c r="K60" s="1145"/>
      <c r="L60" s="941"/>
      <c r="M60" s="941"/>
      <c r="N60" s="941"/>
      <c r="O60" s="941"/>
    </row>
    <row r="61" spans="1:15" s="692" customFormat="1">
      <c r="A61" s="693" t="s">
        <v>2767</v>
      </c>
      <c r="B61" s="262">
        <f t="shared" si="16"/>
        <v>0</v>
      </c>
      <c r="C61" s="200">
        <f t="shared" si="15"/>
        <v>0</v>
      </c>
      <c r="D61" s="1164">
        <v>0.25</v>
      </c>
      <c r="E61" s="261">
        <f>'数据-汇总表'!E11</f>
        <v>0</v>
      </c>
      <c r="F61" s="1103">
        <f t="shared" si="14"/>
        <v>0</v>
      </c>
      <c r="G61" s="2709" t="s">
        <v>2768</v>
      </c>
      <c r="H61" s="1104">
        <f>项目基本情况!C37</f>
        <v>0</v>
      </c>
      <c r="I61" s="1108">
        <f>SUMIF(修正!A45:A56,H61,修正!F45:F56)</f>
        <v>0</v>
      </c>
      <c r="J61" s="1112"/>
      <c r="K61" s="1144"/>
      <c r="L61" s="941"/>
      <c r="M61" s="941"/>
      <c r="N61" s="941"/>
      <c r="O61" s="941"/>
    </row>
    <row r="62" spans="1:15" s="692" customFormat="1">
      <c r="A62" s="693" t="s">
        <v>2769</v>
      </c>
      <c r="B62" s="262">
        <f t="shared" si="16"/>
        <v>0</v>
      </c>
      <c r="C62" s="200">
        <f t="shared" si="15"/>
        <v>0</v>
      </c>
      <c r="D62" s="1164">
        <v>0.25</v>
      </c>
      <c r="E62" s="261">
        <f>'数据-汇总表'!E12</f>
        <v>0</v>
      </c>
      <c r="F62" s="1103">
        <f t="shared" si="14"/>
        <v>0</v>
      </c>
      <c r="G62" s="1109" t="s">
        <v>2770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2771</v>
      </c>
      <c r="B63" s="262">
        <f t="shared" si="16"/>
        <v>0</v>
      </c>
      <c r="C63" s="200">
        <f t="shared" si="15"/>
        <v>0</v>
      </c>
      <c r="D63" s="1164">
        <v>0.25</v>
      </c>
      <c r="E63" s="261">
        <f>'数据-汇总表'!E13</f>
        <v>0</v>
      </c>
      <c r="F63" s="1103">
        <f t="shared" si="14"/>
        <v>0</v>
      </c>
      <c r="G63" s="1109" t="s">
        <v>2772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2773</v>
      </c>
      <c r="B64" s="262">
        <f t="shared" si="16"/>
        <v>0</v>
      </c>
      <c r="C64" s="200">
        <f t="shared" si="15"/>
        <v>0</v>
      </c>
      <c r="D64" s="1164">
        <v>0.25</v>
      </c>
      <c r="E64" s="261">
        <f>'数据-汇总表'!E14</f>
        <v>0</v>
      </c>
      <c r="F64" s="1103">
        <f t="shared" si="14"/>
        <v>0</v>
      </c>
      <c r="G64" s="2709" t="s">
        <v>2763</v>
      </c>
      <c r="H64" s="1104">
        <f>项目基本情况!B37</f>
        <v>0</v>
      </c>
      <c r="I64" s="1108">
        <f>SUMIF(修正!A45:A56,H64,修正!H45:H56)</f>
        <v>0</v>
      </c>
      <c r="J64" s="1112"/>
      <c r="K64" s="1145"/>
      <c r="L64" s="941"/>
      <c r="M64" s="941"/>
      <c r="N64" s="941"/>
      <c r="O64" s="941"/>
    </row>
    <row r="65" spans="1:17" s="692" customFormat="1" ht="14.5" thickBot="1">
      <c r="A65" s="693" t="s">
        <v>2774</v>
      </c>
      <c r="B65" s="262">
        <f t="shared" si="16"/>
        <v>0</v>
      </c>
      <c r="C65" s="200">
        <f t="shared" si="15"/>
        <v>0</v>
      </c>
      <c r="D65" s="1164">
        <v>0.25</v>
      </c>
      <c r="E65" s="261">
        <f>'数据-汇总表'!E15</f>
        <v>0</v>
      </c>
      <c r="F65" s="1103">
        <f t="shared" si="14"/>
        <v>0</v>
      </c>
      <c r="G65" s="2710" t="s">
        <v>2768</v>
      </c>
      <c r="H65" s="1114">
        <f>项目基本情况!C37</f>
        <v>0</v>
      </c>
      <c r="I65" s="1110">
        <f>SUMIF(修正!A45:A56,H65,修正!H45:H56)</f>
        <v>0</v>
      </c>
      <c r="J65" s="1113"/>
      <c r="K65" s="1144"/>
      <c r="L65" s="941"/>
      <c r="M65" s="941"/>
      <c r="N65" s="941"/>
      <c r="O65" s="941"/>
    </row>
    <row r="66" spans="1:17" s="692" customFormat="1" thickBot="1">
      <c r="A66" s="695" t="s">
        <v>2775</v>
      </c>
      <c r="B66" s="696" t="s">
        <v>28</v>
      </c>
      <c r="C66" s="696" t="s">
        <v>29</v>
      </c>
      <c r="D66" s="696" t="s">
        <v>1025</v>
      </c>
      <c r="E66" s="696">
        <f>IF(B46="楼面地价",SUM(E56:E65),'数据-汇总表'!D3)</f>
        <v>127439.59000000001</v>
      </c>
      <c r="F66" s="697">
        <f>IF(B46="楼面地价",SUM(F56:F65),ROUND(C48*E66/10000,0))</f>
        <v>49306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2020-2-1</v>
      </c>
      <c r="D68" s="761">
        <f>EDATE(C68,-3)</f>
        <v>43770</v>
      </c>
      <c r="E68" s="761">
        <f>EDATE(D68,-3)</f>
        <v>43678</v>
      </c>
      <c r="F68" s="761">
        <f t="shared" ref="F68:O68" si="17">EDATE(E68,-3)</f>
        <v>43586</v>
      </c>
      <c r="G68" s="761">
        <f t="shared" si="17"/>
        <v>43497</v>
      </c>
      <c r="H68" s="761">
        <f t="shared" si="17"/>
        <v>43405</v>
      </c>
      <c r="I68" s="761">
        <f t="shared" si="17"/>
        <v>43313</v>
      </c>
      <c r="J68" s="761">
        <f t="shared" si="17"/>
        <v>43221</v>
      </c>
      <c r="K68" s="761">
        <f t="shared" si="17"/>
        <v>43132</v>
      </c>
      <c r="L68" s="761">
        <f t="shared" si="17"/>
        <v>43040</v>
      </c>
      <c r="M68" s="761">
        <f t="shared" si="17"/>
        <v>42948</v>
      </c>
      <c r="N68" s="761">
        <f t="shared" si="17"/>
        <v>42856</v>
      </c>
      <c r="O68" s="761">
        <f t="shared" si="17"/>
        <v>42767</v>
      </c>
    </row>
    <row r="69" spans="1:17" ht="21.5" thickBot="1">
      <c r="A69" s="763" t="s">
        <v>2668</v>
      </c>
      <c r="B69" s="759"/>
      <c r="C69" s="764"/>
      <c r="D69" s="764"/>
      <c r="E69" s="764"/>
      <c r="F69" s="765"/>
      <c r="G69" s="765"/>
      <c r="H69" s="764"/>
      <c r="I69" s="764"/>
      <c r="J69" s="1159"/>
      <c r="K69" s="1160"/>
      <c r="L69" s="1161"/>
      <c r="M69" s="1159"/>
      <c r="N69" s="1159"/>
      <c r="O69" s="1159"/>
      <c r="P69" s="503"/>
      <c r="Q69" s="504"/>
    </row>
    <row r="70" spans="1:17" s="508" customFormat="1">
      <c r="A70" s="2711" t="s">
        <v>2776</v>
      </c>
      <c r="B70" s="1359"/>
      <c r="C70" s="1571" t="str">
        <f>YEAR(C68)&amp;"-"&amp;ROUNDUP(MONTH(C68)/3,0)</f>
        <v>2020-1</v>
      </c>
      <c r="D70" s="1571" t="str">
        <f>YEAR(D68)&amp;"-"&amp;ROUNDUP(MONTH(D68)/3,0)</f>
        <v>2019-4</v>
      </c>
      <c r="E70" s="1571" t="str">
        <f t="shared" ref="E70:O70" si="18">YEAR(E68)&amp;"-"&amp;ROUNDUP(MONTH(E68)/3,0)</f>
        <v>2019-3</v>
      </c>
      <c r="F70" s="1571" t="str">
        <f t="shared" si="18"/>
        <v>2019-2</v>
      </c>
      <c r="G70" s="1571" t="str">
        <f t="shared" si="18"/>
        <v>2019-1</v>
      </c>
      <c r="H70" s="1571" t="str">
        <f t="shared" si="18"/>
        <v>2018-4</v>
      </c>
      <c r="I70" s="1571" t="str">
        <f t="shared" si="18"/>
        <v>2018-3</v>
      </c>
      <c r="J70" s="1571" t="str">
        <f t="shared" si="18"/>
        <v>2018-2</v>
      </c>
      <c r="K70" s="1571" t="str">
        <f t="shared" si="18"/>
        <v>2018-1</v>
      </c>
      <c r="L70" s="1571" t="str">
        <f t="shared" si="18"/>
        <v>2017-4</v>
      </c>
      <c r="M70" s="1571" t="str">
        <f t="shared" si="18"/>
        <v>2017-3</v>
      </c>
      <c r="N70" s="1571" t="str">
        <f t="shared" si="18"/>
        <v>2017-2</v>
      </c>
      <c r="O70" s="1571" t="str">
        <f t="shared" si="18"/>
        <v>2017-1</v>
      </c>
      <c r="P70" s="507"/>
    </row>
    <row r="71" spans="1:17" s="117" customFormat="1" ht="30" customHeight="1">
      <c r="A71" s="2712" t="s">
        <v>2777</v>
      </c>
      <c r="B71" s="332" t="str">
        <f>"北京市平均增长率"&amp;TEXT(SUMIF(基准地价修正!N21:N25,A71,基准地价修正!P21:P25),"0.00%")</f>
        <v>北京市平均增长率2.10%</v>
      </c>
      <c r="C71" s="603">
        <v>100</v>
      </c>
      <c r="D71" s="595">
        <f>C71-0.5</f>
        <v>99.5</v>
      </c>
      <c r="E71" s="595">
        <f t="shared" ref="E71:N71" si="19">D71-0.5</f>
        <v>99</v>
      </c>
      <c r="F71" s="595">
        <f t="shared" si="19"/>
        <v>98.5</v>
      </c>
      <c r="G71" s="595">
        <f t="shared" si="19"/>
        <v>98</v>
      </c>
      <c r="H71" s="595">
        <f t="shared" si="19"/>
        <v>97.5</v>
      </c>
      <c r="I71" s="595">
        <f t="shared" si="19"/>
        <v>97</v>
      </c>
      <c r="J71" s="595">
        <f t="shared" si="19"/>
        <v>96.5</v>
      </c>
      <c r="K71" s="595">
        <f t="shared" si="19"/>
        <v>96</v>
      </c>
      <c r="L71" s="595">
        <f t="shared" si="19"/>
        <v>95.5</v>
      </c>
      <c r="M71" s="595">
        <f t="shared" si="19"/>
        <v>95</v>
      </c>
      <c r="N71" s="595">
        <f t="shared" si="19"/>
        <v>94.5</v>
      </c>
      <c r="O71" s="595">
        <f>N71-0.5</f>
        <v>94</v>
      </c>
      <c r="P71" s="504"/>
    </row>
    <row r="72" spans="1:17" s="117" customFormat="1" ht="14.5" thickBot="1">
      <c r="A72" s="515" t="s">
        <v>2579</v>
      </c>
      <c r="B72" s="516"/>
      <c r="C72" s="517"/>
      <c r="D72" s="518"/>
      <c r="E72" s="518"/>
      <c r="F72" s="518"/>
      <c r="G72" s="518"/>
      <c r="H72" s="518"/>
      <c r="I72" s="518"/>
      <c r="J72" s="518"/>
      <c r="K72" s="518"/>
      <c r="L72" s="518"/>
      <c r="M72" s="519"/>
      <c r="N72" s="518"/>
      <c r="O72" s="1162"/>
      <c r="P72" s="504"/>
      <c r="Q72" s="504"/>
    </row>
    <row r="73" spans="1:17" s="117" customFormat="1">
      <c r="A73" s="521" t="s">
        <v>2544</v>
      </c>
      <c r="B73" s="510"/>
      <c r="C73" s="522" t="s">
        <v>2646</v>
      </c>
      <c r="D73" s="523"/>
      <c r="E73" s="523"/>
      <c r="F73" s="523"/>
      <c r="G73" s="523"/>
      <c r="H73" s="523"/>
      <c r="I73" s="523"/>
      <c r="J73" s="523"/>
      <c r="K73" s="523"/>
      <c r="L73" s="524"/>
      <c r="M73" s="525"/>
      <c r="N73" s="1151"/>
      <c r="O73" s="1151"/>
      <c r="P73" s="526"/>
      <c r="Q73" s="504"/>
    </row>
    <row r="74" spans="1:17" s="117" customFormat="1" ht="14.5" thickBot="1">
      <c r="A74" s="521"/>
      <c r="B74" s="510"/>
      <c r="C74" s="639">
        <v>100</v>
      </c>
      <c r="D74" s="512"/>
      <c r="E74" s="512"/>
      <c r="F74" s="512"/>
      <c r="G74" s="512"/>
      <c r="H74" s="512"/>
      <c r="I74" s="512"/>
      <c r="J74" s="512"/>
      <c r="K74" s="512"/>
      <c r="L74" s="512"/>
      <c r="M74" s="514"/>
      <c r="N74" s="1151"/>
      <c r="O74" s="1151"/>
      <c r="P74" s="504"/>
      <c r="Q74" s="504"/>
    </row>
    <row r="75" spans="1:17">
      <c r="A75" s="527" t="s">
        <v>2582</v>
      </c>
      <c r="B75" s="528" t="s">
        <v>2548</v>
      </c>
      <c r="C75" s="530"/>
      <c r="D75" s="530"/>
      <c r="E75" s="530"/>
      <c r="F75" s="530"/>
      <c r="G75" s="530"/>
      <c r="H75" s="530"/>
      <c r="I75" s="530"/>
      <c r="J75" s="530"/>
      <c r="K75" s="531"/>
      <c r="L75" s="532"/>
      <c r="M75" s="533"/>
      <c r="N75" s="1152"/>
      <c r="O75" s="1152"/>
      <c r="P75" s="45"/>
      <c r="Q75" s="504"/>
    </row>
    <row r="76" spans="1:17" ht="14.5" thickBot="1">
      <c r="A76" s="534"/>
      <c r="B76" s="535"/>
      <c r="C76" s="536"/>
      <c r="D76" s="536"/>
      <c r="E76" s="536"/>
      <c r="F76" s="536"/>
      <c r="G76" s="536"/>
      <c r="H76" s="536"/>
      <c r="I76" s="536"/>
      <c r="J76" s="536"/>
      <c r="K76" s="536"/>
      <c r="L76" s="536"/>
      <c r="M76" s="537"/>
      <c r="N76" s="1153"/>
      <c r="O76" s="1153"/>
      <c r="P76" s="45"/>
      <c r="Q76" s="504"/>
    </row>
    <row r="77" spans="1:17" ht="28.5" thickTop="1">
      <c r="A77" s="534"/>
      <c r="B77" s="538" t="s">
        <v>2551</v>
      </c>
      <c r="C77" s="539"/>
      <c r="D77" s="539"/>
      <c r="E77" s="539"/>
      <c r="F77" s="539"/>
      <c r="G77" s="539"/>
      <c r="H77" s="539"/>
      <c r="I77" s="539"/>
      <c r="J77" s="539"/>
      <c r="K77" s="540"/>
      <c r="L77" s="541"/>
      <c r="M77" s="542"/>
      <c r="N77" s="1152"/>
      <c r="O77" s="1152"/>
      <c r="P77" s="45"/>
      <c r="Q77" s="504"/>
    </row>
    <row r="78" spans="1:17" ht="14.5" thickBot="1">
      <c r="A78" s="534"/>
      <c r="B78" s="543"/>
      <c r="C78" s="544"/>
      <c r="D78" s="544"/>
      <c r="E78" s="544"/>
      <c r="F78" s="544"/>
      <c r="G78" s="544"/>
      <c r="H78" s="544"/>
      <c r="I78" s="544"/>
      <c r="J78" s="544"/>
      <c r="K78" s="544"/>
      <c r="L78" s="544"/>
      <c r="M78" s="545"/>
      <c r="N78" s="1153"/>
      <c r="O78" s="1153"/>
      <c r="P78" s="45"/>
      <c r="Q78" s="504"/>
    </row>
    <row r="79" spans="1:17" ht="14.5" thickTop="1">
      <c r="A79" s="534"/>
      <c r="B79" s="546" t="s">
        <v>2552</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v>0</v>
      </c>
      <c r="D80" s="549">
        <v>1</v>
      </c>
      <c r="E80" s="549">
        <v>2</v>
      </c>
      <c r="F80" s="549">
        <v>3</v>
      </c>
      <c r="G80" s="549">
        <v>4</v>
      </c>
      <c r="H80" s="549">
        <v>5</v>
      </c>
      <c r="I80" s="549"/>
      <c r="J80" s="549"/>
      <c r="K80" s="550"/>
      <c r="L80" s="551"/>
      <c r="M80" s="552"/>
      <c r="N80" s="1152"/>
      <c r="O80" s="1152"/>
      <c r="P80" s="45"/>
      <c r="Q80" s="504"/>
    </row>
    <row r="81" spans="1:17" ht="14.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4.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5" thickBot="1">
      <c r="A83" s="553"/>
      <c r="B83" s="543"/>
      <c r="C83" s="560"/>
      <c r="D83" s="536"/>
      <c r="E83" s="536"/>
      <c r="F83" s="536"/>
      <c r="G83" s="536"/>
      <c r="H83" s="536"/>
      <c r="I83" s="536"/>
      <c r="J83" s="536"/>
      <c r="K83" s="536"/>
      <c r="L83" s="536"/>
      <c r="M83" s="537"/>
      <c r="N83" s="1153"/>
      <c r="O83" s="1153"/>
      <c r="P83" s="558"/>
      <c r="Q83" s="559"/>
    </row>
    <row r="84" spans="1:17" s="471" customFormat="1" ht="14.5" thickTop="1">
      <c r="A84" s="553"/>
      <c r="B84" s="538">
        <f>B13</f>
        <v>111</v>
      </c>
      <c r="C84" s="554"/>
      <c r="D84" s="554"/>
      <c r="E84" s="554"/>
      <c r="F84" s="554"/>
      <c r="G84" s="554"/>
      <c r="H84" s="555"/>
      <c r="I84" s="555"/>
      <c r="J84" s="555"/>
      <c r="K84" s="555"/>
      <c r="L84" s="556"/>
      <c r="M84" s="557"/>
      <c r="N84" s="1154"/>
      <c r="O84" s="1154"/>
      <c r="P84" s="470"/>
      <c r="Q84" s="561"/>
    </row>
    <row r="85" spans="1:17" s="471" customFormat="1" ht="14.5" thickBot="1">
      <c r="A85" s="553"/>
      <c r="B85" s="543"/>
      <c r="C85" s="560"/>
      <c r="D85" s="560"/>
      <c r="E85" s="560"/>
      <c r="F85" s="560"/>
      <c r="G85" s="560"/>
      <c r="H85" s="562"/>
      <c r="I85" s="562"/>
      <c r="J85" s="562"/>
      <c r="K85" s="562"/>
      <c r="L85" s="562"/>
      <c r="M85" s="563"/>
      <c r="N85" s="1154"/>
      <c r="O85" s="1154"/>
      <c r="P85" s="558"/>
      <c r="Q85" s="559"/>
    </row>
    <row r="86" spans="1:17" s="471" customFormat="1" ht="14.5" thickTop="1">
      <c r="A86" s="553"/>
      <c r="B86" s="546">
        <f>B14</f>
        <v>111</v>
      </c>
      <c r="C86" s="523"/>
      <c r="D86" s="523"/>
      <c r="E86" s="523"/>
      <c r="F86" s="523"/>
      <c r="G86" s="523"/>
      <c r="H86" s="564"/>
      <c r="I86" s="564"/>
      <c r="J86" s="564"/>
      <c r="K86" s="564"/>
      <c r="L86" s="565"/>
      <c r="M86" s="566"/>
      <c r="N86" s="1154"/>
      <c r="O86" s="1154"/>
      <c r="P86" s="567"/>
      <c r="Q86" s="559"/>
    </row>
    <row r="87" spans="1:17" s="471" customFormat="1" ht="14.5" thickBot="1">
      <c r="A87" s="568"/>
      <c r="B87" s="569"/>
      <c r="C87" s="570"/>
      <c r="D87" s="570"/>
      <c r="E87" s="570"/>
      <c r="F87" s="570"/>
      <c r="G87" s="570"/>
      <c r="H87" s="571"/>
      <c r="I87" s="571"/>
      <c r="J87" s="571"/>
      <c r="K87" s="571"/>
      <c r="L87" s="571"/>
      <c r="M87" s="572"/>
      <c r="N87" s="1154"/>
      <c r="O87" s="1154"/>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2"/>
      <c r="O88" s="1152"/>
      <c r="P88" s="577"/>
      <c r="Q88" s="504"/>
    </row>
    <row r="89" spans="1:17" ht="14.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4.5" thickTop="1">
      <c r="A90" s="534"/>
      <c r="B90" s="538" t="s">
        <v>2778</v>
      </c>
      <c r="C90" s="578" t="s">
        <v>2591</v>
      </c>
      <c r="D90" s="578" t="s">
        <v>2592</v>
      </c>
      <c r="E90" s="578" t="s">
        <v>2593</v>
      </c>
      <c r="F90" s="578" t="s">
        <v>2594</v>
      </c>
      <c r="G90" s="578" t="s">
        <v>2595</v>
      </c>
      <c r="H90" s="539"/>
      <c r="I90" s="539"/>
      <c r="J90" s="539"/>
      <c r="K90" s="540"/>
      <c r="L90" s="541"/>
      <c r="M90" s="542"/>
      <c r="N90" s="1152"/>
      <c r="O90" s="1152"/>
      <c r="P90" s="45"/>
      <c r="Q90" s="504"/>
    </row>
    <row r="91" spans="1:17" ht="14.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4.5" thickTop="1">
      <c r="A92" s="534"/>
      <c r="B92" s="538" t="s">
        <v>2691</v>
      </c>
      <c r="C92" s="578" t="s">
        <v>2591</v>
      </c>
      <c r="D92" s="578" t="s">
        <v>2592</v>
      </c>
      <c r="E92" s="578" t="s">
        <v>2593</v>
      </c>
      <c r="F92" s="578" t="s">
        <v>2594</v>
      </c>
      <c r="G92" s="578" t="s">
        <v>2595</v>
      </c>
      <c r="H92" s="539"/>
      <c r="I92" s="539"/>
      <c r="J92" s="539"/>
      <c r="K92" s="540"/>
      <c r="L92" s="541"/>
      <c r="M92" s="542"/>
      <c r="N92" s="1152"/>
      <c r="O92" s="1152"/>
      <c r="P92" s="45"/>
      <c r="Q92" s="504"/>
    </row>
    <row r="93" spans="1:17" ht="14.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4.5" thickTop="1">
      <c r="A94" s="534"/>
      <c r="B94" s="538" t="s">
        <v>2596</v>
      </c>
      <c r="C94" s="578" t="s">
        <v>2591</v>
      </c>
      <c r="D94" s="578" t="s">
        <v>2592</v>
      </c>
      <c r="E94" s="578" t="s">
        <v>2593</v>
      </c>
      <c r="F94" s="578" t="s">
        <v>2594</v>
      </c>
      <c r="G94" s="578" t="s">
        <v>2595</v>
      </c>
      <c r="H94" s="539"/>
      <c r="I94" s="539"/>
      <c r="J94" s="539"/>
      <c r="K94" s="540"/>
      <c r="L94" s="541"/>
      <c r="M94" s="542"/>
      <c r="N94" s="1152"/>
      <c r="O94" s="1152"/>
      <c r="P94" s="45"/>
      <c r="Q94" s="504"/>
    </row>
    <row r="95" spans="1:17" ht="14.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8.5" thickTop="1">
      <c r="A96" s="579"/>
      <c r="B96" s="538" t="s">
        <v>2779</v>
      </c>
      <c r="C96" s="578" t="s">
        <v>2591</v>
      </c>
      <c r="D96" s="578" t="s">
        <v>2592</v>
      </c>
      <c r="E96" s="578" t="s">
        <v>2593</v>
      </c>
      <c r="F96" s="578" t="s">
        <v>2594</v>
      </c>
      <c r="G96" s="578" t="s">
        <v>2595</v>
      </c>
      <c r="H96" s="578"/>
      <c r="I96" s="578"/>
      <c r="J96" s="578"/>
      <c r="K96" s="578"/>
      <c r="L96" s="698"/>
      <c r="M96" s="622"/>
      <c r="N96" s="1151"/>
      <c r="O96" s="1151"/>
      <c r="P96" s="45"/>
      <c r="Q96" s="504"/>
    </row>
    <row r="97" spans="1:17" s="117" customFormat="1" ht="14.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8.5" thickTop="1">
      <c r="A98" s="579"/>
      <c r="B98" s="538" t="s">
        <v>2780</v>
      </c>
      <c r="C98" s="573" t="s">
        <v>2591</v>
      </c>
      <c r="D98" s="573" t="s">
        <v>2592</v>
      </c>
      <c r="E98" s="573" t="s">
        <v>2593</v>
      </c>
      <c r="F98" s="573" t="s">
        <v>2594</v>
      </c>
      <c r="G98" s="573" t="s">
        <v>2595</v>
      </c>
      <c r="H98" s="578"/>
      <c r="I98" s="578"/>
      <c r="J98" s="578"/>
      <c r="K98" s="578"/>
      <c r="L98" s="578"/>
      <c r="M98" s="622"/>
      <c r="N98" s="1151"/>
      <c r="O98" s="1151"/>
      <c r="P98" s="45"/>
      <c r="Q98" s="504"/>
    </row>
    <row r="99" spans="1:17" s="117" customFormat="1" ht="14.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4.5" thickTop="1">
      <c r="A100" s="553"/>
      <c r="B100" s="538" t="s">
        <v>2648</v>
      </c>
      <c r="C100" s="573" t="s">
        <v>2591</v>
      </c>
      <c r="D100" s="573" t="s">
        <v>2592</v>
      </c>
      <c r="E100" s="573" t="s">
        <v>2593</v>
      </c>
      <c r="F100" s="573" t="s">
        <v>2594</v>
      </c>
      <c r="G100" s="573" t="s">
        <v>2595</v>
      </c>
      <c r="H100" s="600"/>
      <c r="I100" s="600"/>
      <c r="J100" s="600"/>
      <c r="K100" s="600"/>
      <c r="L100" s="601"/>
      <c r="M100" s="602"/>
      <c r="N100" s="1154"/>
      <c r="O100" s="1154"/>
      <c r="P100" s="558"/>
      <c r="Q100" s="559"/>
    </row>
    <row r="101" spans="1:17" s="471" customFormat="1" ht="14.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4.5" thickTop="1">
      <c r="A102" s="553"/>
      <c r="B102" s="546" t="s">
        <v>2649</v>
      </c>
      <c r="C102" s="660" t="s">
        <v>2669</v>
      </c>
      <c r="D102" s="660" t="s">
        <v>2670</v>
      </c>
      <c r="E102" s="660" t="s">
        <v>2671</v>
      </c>
      <c r="F102" s="660" t="s">
        <v>2672</v>
      </c>
      <c r="G102" s="660" t="s">
        <v>2673</v>
      </c>
      <c r="H102" s="600"/>
      <c r="I102" s="600"/>
      <c r="J102" s="600"/>
      <c r="K102" s="600"/>
      <c r="L102" s="600"/>
      <c r="M102" s="1385"/>
      <c r="N102" s="1154"/>
      <c r="O102" s="1154"/>
      <c r="P102" s="558"/>
      <c r="Q102" s="559"/>
    </row>
    <row r="103" spans="1:17" s="471" customFormat="1" ht="14.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4.5" thickTop="1">
      <c r="A104" s="534"/>
      <c r="B104" s="538" t="str">
        <f>B31</f>
        <v>临街状况</v>
      </c>
      <c r="C104" s="539" t="s">
        <v>2781</v>
      </c>
      <c r="D104" s="539" t="s">
        <v>2782</v>
      </c>
      <c r="E104" s="539" t="s">
        <v>2783</v>
      </c>
      <c r="F104" s="539" t="s">
        <v>2784</v>
      </c>
      <c r="G104" s="539"/>
      <c r="H104" s="539"/>
      <c r="I104" s="539"/>
      <c r="J104" s="539"/>
      <c r="K104" s="540"/>
      <c r="L104" s="541"/>
      <c r="M104" s="542"/>
      <c r="N104" s="1152"/>
      <c r="O104" s="1152"/>
      <c r="P104" s="45"/>
      <c r="Q104" s="504"/>
    </row>
    <row r="105" spans="1:17" ht="14.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8.5" thickTop="1">
      <c r="A106" s="534"/>
      <c r="B106" s="538" t="s">
        <v>2685</v>
      </c>
      <c r="C106" s="554"/>
      <c r="D106" s="554"/>
      <c r="E106" s="554"/>
      <c r="F106" s="554"/>
      <c r="G106" s="554"/>
      <c r="H106" s="583"/>
      <c r="I106" s="583"/>
      <c r="J106" s="583"/>
      <c r="K106" s="584"/>
      <c r="L106" s="585"/>
      <c r="M106" s="586"/>
      <c r="N106" s="1152"/>
      <c r="O106" s="1152"/>
      <c r="P106" s="45"/>
      <c r="Q106" s="504"/>
    </row>
    <row r="107" spans="1:17" ht="14.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4.5" thickTop="1">
      <c r="A108" s="534"/>
      <c r="B108" s="538" t="s">
        <v>2744</v>
      </c>
      <c r="C108" s="583"/>
      <c r="D108" s="583"/>
      <c r="E108" s="583"/>
      <c r="F108" s="583"/>
      <c r="G108" s="583"/>
      <c r="H108" s="583"/>
      <c r="I108" s="583"/>
      <c r="J108" s="583"/>
      <c r="K108" s="584"/>
      <c r="L108" s="585"/>
      <c r="M108" s="586"/>
      <c r="N108" s="1152"/>
      <c r="O108" s="1152"/>
      <c r="P108" s="45"/>
      <c r="Q108" s="504"/>
    </row>
    <row r="109" spans="1:17" ht="14.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5" thickTop="1">
      <c r="A110" s="534"/>
      <c r="B110" s="546">
        <f>B35</f>
        <v>111</v>
      </c>
      <c r="C110" s="554"/>
      <c r="D110" s="554"/>
      <c r="E110" s="554"/>
      <c r="F110" s="554"/>
      <c r="G110" s="587"/>
      <c r="H110" s="587"/>
      <c r="I110" s="587"/>
      <c r="J110" s="587"/>
      <c r="K110" s="588"/>
      <c r="L110" s="589"/>
      <c r="M110" s="590"/>
      <c r="N110" s="1152"/>
      <c r="O110" s="1152"/>
      <c r="P110" s="45"/>
      <c r="Q110" s="504"/>
    </row>
    <row r="111" spans="1:17" ht="14.5" thickBot="1">
      <c r="A111" s="534"/>
      <c r="B111" s="569"/>
      <c r="C111" s="560"/>
      <c r="D111" s="560"/>
      <c r="E111" s="560"/>
      <c r="F111" s="560"/>
      <c r="G111" s="591"/>
      <c r="H111" s="591"/>
      <c r="I111" s="591"/>
      <c r="J111" s="591"/>
      <c r="K111" s="591"/>
      <c r="L111" s="591"/>
      <c r="M111" s="592"/>
      <c r="N111" s="1153"/>
      <c r="O111" s="1153"/>
      <c r="P111" s="45"/>
      <c r="Q111" s="504"/>
    </row>
    <row r="112" spans="1:17" ht="14.5" thickTop="1">
      <c r="A112" s="675"/>
      <c r="B112" s="538">
        <f>B36</f>
        <v>111</v>
      </c>
      <c r="C112" s="523"/>
      <c r="D112" s="523"/>
      <c r="E112" s="523"/>
      <c r="F112" s="523"/>
      <c r="G112" s="583"/>
      <c r="H112" s="583"/>
      <c r="I112" s="583"/>
      <c r="J112" s="583"/>
      <c r="K112" s="584"/>
      <c r="L112" s="585"/>
      <c r="M112" s="586"/>
      <c r="N112" s="1152"/>
      <c r="O112" s="1152"/>
      <c r="P112" s="45"/>
      <c r="Q112" s="504"/>
    </row>
    <row r="113" spans="1:17" ht="14.5" thickBot="1">
      <c r="A113" s="534"/>
      <c r="B113" s="543"/>
      <c r="C113" s="570"/>
      <c r="D113" s="570"/>
      <c r="E113" s="570"/>
      <c r="F113" s="570"/>
      <c r="G113" s="536"/>
      <c r="H113" s="536"/>
      <c r="I113" s="536"/>
      <c r="J113" s="536"/>
      <c r="K113" s="536"/>
      <c r="L113" s="536"/>
      <c r="M113" s="537"/>
      <c r="N113" s="1153"/>
      <c r="O113" s="1153"/>
      <c r="P113" s="45"/>
      <c r="Q113" s="504"/>
    </row>
    <row r="114" spans="1:17" s="471" customFormat="1" ht="14.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5" thickBot="1">
      <c r="A115" s="553"/>
      <c r="B115" s="546"/>
      <c r="C115" s="512"/>
      <c r="D115" s="677"/>
      <c r="E115" s="677"/>
      <c r="F115" s="677"/>
      <c r="G115" s="677"/>
      <c r="H115" s="677"/>
      <c r="I115" s="677"/>
      <c r="J115" s="677"/>
      <c r="K115" s="677"/>
      <c r="L115" s="677"/>
      <c r="M115" s="699"/>
      <c r="N115" s="1153"/>
      <c r="O115" s="1153"/>
      <c r="P115" s="558"/>
      <c r="Q115" s="559"/>
    </row>
    <row r="116" spans="1:17" ht="28">
      <c r="A116" s="527" t="s">
        <v>2557</v>
      </c>
      <c r="B116" s="528" t="s">
        <v>2785</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v>0</v>
      </c>
      <c r="D117" s="595">
        <v>50000</v>
      </c>
      <c r="E117" s="595">
        <v>100000</v>
      </c>
      <c r="F117" s="595">
        <v>150000</v>
      </c>
      <c r="G117" s="595">
        <v>200000</v>
      </c>
      <c r="H117" s="595"/>
      <c r="I117" s="595"/>
      <c r="J117" s="596"/>
      <c r="K117" s="596"/>
      <c r="L117" s="597"/>
      <c r="M117" s="598"/>
      <c r="N117" s="1152"/>
      <c r="O117" s="1152"/>
      <c r="P117" s="45"/>
      <c r="Q117" s="504"/>
    </row>
    <row r="118" spans="1:17" ht="14.5" thickBot="1">
      <c r="A118" s="534"/>
      <c r="B118" s="543"/>
      <c r="C118" s="570">
        <v>96</v>
      </c>
      <c r="D118" s="591">
        <v>98</v>
      </c>
      <c r="E118" s="591">
        <v>100</v>
      </c>
      <c r="F118" s="591">
        <v>98</v>
      </c>
      <c r="G118" s="591">
        <v>96</v>
      </c>
      <c r="H118" s="591"/>
      <c r="I118" s="591"/>
      <c r="J118" s="591"/>
      <c r="K118" s="591"/>
      <c r="L118" s="591"/>
      <c r="M118" s="592"/>
      <c r="N118" s="1153"/>
      <c r="O118" s="1153"/>
      <c r="P118" s="45"/>
      <c r="Q118" s="504"/>
    </row>
    <row r="119" spans="1:17" ht="14.5" thickTop="1">
      <c r="A119" s="599"/>
      <c r="B119" s="538" t="s">
        <v>2786</v>
      </c>
      <c r="C119" s="583"/>
      <c r="D119" s="583"/>
      <c r="E119" s="583"/>
      <c r="F119" s="583"/>
      <c r="G119" s="583"/>
      <c r="H119" s="583"/>
      <c r="I119" s="583"/>
      <c r="J119" s="583"/>
      <c r="K119" s="584"/>
      <c r="L119" s="585"/>
      <c r="M119" s="586"/>
      <c r="N119" s="1152"/>
      <c r="O119" s="1152"/>
      <c r="P119" s="45"/>
      <c r="Q119" s="504"/>
    </row>
    <row r="120" spans="1:17" ht="14.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4.5" thickTop="1">
      <c r="A121" s="599"/>
      <c r="B121" s="538" t="s">
        <v>2787</v>
      </c>
      <c r="C121" s="554"/>
      <c r="D121" s="554"/>
      <c r="E121" s="554"/>
      <c r="F121" s="583"/>
      <c r="G121" s="583"/>
      <c r="H121" s="583"/>
      <c r="I121" s="583"/>
      <c r="J121" s="583"/>
      <c r="K121" s="584"/>
      <c r="L121" s="585"/>
      <c r="M121" s="586"/>
      <c r="N121" s="1152"/>
      <c r="O121" s="1152"/>
      <c r="P121" s="45"/>
      <c r="Q121" s="504"/>
    </row>
    <row r="122" spans="1:17" ht="14.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4.5" thickTop="1">
      <c r="A123" s="593"/>
      <c r="B123" s="538" t="s">
        <v>2788</v>
      </c>
      <c r="C123" s="554"/>
      <c r="D123" s="554"/>
      <c r="E123" s="554"/>
      <c r="F123" s="554"/>
      <c r="G123" s="554"/>
      <c r="H123" s="583"/>
      <c r="I123" s="583"/>
      <c r="J123" s="583"/>
      <c r="K123" s="584"/>
      <c r="L123" s="585"/>
      <c r="M123" s="586"/>
      <c r="N123" s="1154"/>
      <c r="O123" s="1154"/>
      <c r="P123" s="558"/>
      <c r="Q123" s="559"/>
    </row>
    <row r="124" spans="1:17" s="471" customFormat="1" ht="14.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4.5" thickTop="1">
      <c r="A125" s="599"/>
      <c r="B125" s="538" t="s">
        <v>2789</v>
      </c>
      <c r="C125" s="554"/>
      <c r="D125" s="554"/>
      <c r="E125" s="583"/>
      <c r="F125" s="583"/>
      <c r="G125" s="583"/>
      <c r="H125" s="583"/>
      <c r="I125" s="583"/>
      <c r="J125" s="583"/>
      <c r="K125" s="584"/>
      <c r="L125" s="585"/>
      <c r="M125" s="586"/>
      <c r="N125" s="1152"/>
      <c r="O125" s="1152"/>
      <c r="P125" s="45"/>
      <c r="Q125" s="504"/>
    </row>
    <row r="126" spans="1:17" ht="14.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5" thickTop="1">
      <c r="A127" s="599"/>
      <c r="B127" s="538">
        <f>B43</f>
        <v>111</v>
      </c>
      <c r="C127" s="554"/>
      <c r="D127" s="554"/>
      <c r="E127" s="554"/>
      <c r="F127" s="554"/>
      <c r="G127" s="554"/>
      <c r="H127" s="583"/>
      <c r="I127" s="583"/>
      <c r="J127" s="583"/>
      <c r="K127" s="584"/>
      <c r="L127" s="585"/>
      <c r="M127" s="586"/>
      <c r="N127" s="1152"/>
      <c r="O127" s="1152"/>
      <c r="P127" s="45"/>
      <c r="Q127" s="504"/>
    </row>
    <row r="128" spans="1:17" ht="14.5" thickBot="1">
      <c r="A128" s="534"/>
      <c r="B128" s="543"/>
      <c r="C128" s="560"/>
      <c r="D128" s="560"/>
      <c r="E128" s="560"/>
      <c r="F128" s="560"/>
      <c r="G128" s="536"/>
      <c r="H128" s="536"/>
      <c r="I128" s="536"/>
      <c r="J128" s="536"/>
      <c r="K128" s="536"/>
      <c r="L128" s="536"/>
      <c r="M128" s="537"/>
      <c r="N128" s="1153"/>
      <c r="O128" s="1153"/>
      <c r="P128" s="45"/>
      <c r="Q128" s="504"/>
    </row>
    <row r="129" spans="1:17" ht="14.5" thickTop="1">
      <c r="A129" s="599"/>
      <c r="B129" s="538">
        <f>B44</f>
        <v>111</v>
      </c>
      <c r="C129" s="523"/>
      <c r="D129" s="523"/>
      <c r="E129" s="523"/>
      <c r="F129" s="523"/>
      <c r="G129" s="583"/>
      <c r="H129" s="583"/>
      <c r="I129" s="583"/>
      <c r="J129" s="583"/>
      <c r="K129" s="584"/>
      <c r="L129" s="585"/>
      <c r="M129" s="586"/>
      <c r="N129" s="1152"/>
      <c r="O129" s="1152"/>
      <c r="P129" s="45"/>
      <c r="Q129" s="504"/>
    </row>
    <row r="130" spans="1:17" ht="14.5" thickBot="1">
      <c r="A130" s="534"/>
      <c r="B130" s="543"/>
      <c r="C130" s="570"/>
      <c r="D130" s="570"/>
      <c r="E130" s="570"/>
      <c r="F130" s="570"/>
      <c r="G130" s="536"/>
      <c r="H130" s="536"/>
      <c r="I130" s="536"/>
      <c r="J130" s="536"/>
      <c r="K130" s="536"/>
      <c r="L130" s="536"/>
      <c r="M130" s="537"/>
      <c r="N130" s="1153"/>
      <c r="O130" s="1153"/>
      <c r="P130" s="45"/>
      <c r="Q130" s="504"/>
    </row>
    <row r="131" spans="1:17" s="471" customFormat="1" ht="14.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08E99-F7A6-4CA9-BA65-23E17479EAA8}">
  <sheetPr>
    <tabColor rgb="FF92D050"/>
  </sheetPr>
  <dimension ref="A1:N16"/>
  <sheetViews>
    <sheetView workbookViewId="0">
      <selection activeCell="I20" sqref="I20"/>
    </sheetView>
  </sheetViews>
  <sheetFormatPr defaultRowHeight="14"/>
  <cols>
    <col min="1" max="1" width="27.54296875" style="1634" customWidth="1"/>
    <col min="2" max="2" width="7.08984375" style="1634" hidden="1" customWidth="1"/>
    <col min="3" max="3" width="8.7265625" style="1634" customWidth="1"/>
    <col min="4" max="5" width="15.90625" style="1634" customWidth="1"/>
    <col min="6" max="6" width="15.08984375" style="1634" customWidth="1"/>
    <col min="7" max="7" width="9" style="1634" customWidth="1"/>
    <col min="8" max="8" width="10.26953125" style="1634" customWidth="1"/>
    <col min="9" max="9" width="5.1796875" style="1634" customWidth="1"/>
    <col min="10" max="10" width="8.6328125" style="1634" customWidth="1"/>
    <col min="11" max="11" width="11.36328125" style="1634" customWidth="1"/>
    <col min="12" max="12" width="7.08984375" style="1634" customWidth="1"/>
    <col min="13" max="13" width="44.90625" style="1634" customWidth="1"/>
    <col min="14" max="14" width="9" style="1634" hidden="1" customWidth="1"/>
    <col min="15" max="256" width="8.7265625" style="1634"/>
    <col min="257" max="257" width="57" style="1634" customWidth="1"/>
    <col min="258" max="258" width="7.08984375" style="1634" customWidth="1"/>
    <col min="259" max="261" width="15.90625" style="1634" customWidth="1"/>
    <col min="262" max="262" width="28.453125" style="1634" customWidth="1"/>
    <col min="263" max="263" width="9" style="1634" customWidth="1"/>
    <col min="264" max="264" width="10.26953125" style="1634" customWidth="1"/>
    <col min="265" max="266" width="12.08984375" style="1634" customWidth="1"/>
    <col min="267" max="267" width="16.36328125" style="1634" customWidth="1"/>
    <col min="268" max="268" width="7.08984375" style="1634" customWidth="1"/>
    <col min="269" max="269" width="44.90625" style="1634" customWidth="1"/>
    <col min="270" max="270" width="9" style="1634" customWidth="1"/>
    <col min="271" max="512" width="8.7265625" style="1634"/>
    <col min="513" max="513" width="57" style="1634" customWidth="1"/>
    <col min="514" max="514" width="7.08984375" style="1634" customWidth="1"/>
    <col min="515" max="517" width="15.90625" style="1634" customWidth="1"/>
    <col min="518" max="518" width="28.453125" style="1634" customWidth="1"/>
    <col min="519" max="519" width="9" style="1634" customWidth="1"/>
    <col min="520" max="520" width="10.26953125" style="1634" customWidth="1"/>
    <col min="521" max="522" width="12.08984375" style="1634" customWidth="1"/>
    <col min="523" max="523" width="16.36328125" style="1634" customWidth="1"/>
    <col min="524" max="524" width="7.08984375" style="1634" customWidth="1"/>
    <col min="525" max="525" width="44.90625" style="1634" customWidth="1"/>
    <col min="526" max="526" width="9" style="1634" customWidth="1"/>
    <col min="527" max="768" width="8.7265625" style="1634"/>
    <col min="769" max="769" width="57" style="1634" customWidth="1"/>
    <col min="770" max="770" width="7.08984375" style="1634" customWidth="1"/>
    <col min="771" max="773" width="15.90625" style="1634" customWidth="1"/>
    <col min="774" max="774" width="28.453125" style="1634" customWidth="1"/>
    <col min="775" max="775" width="9" style="1634" customWidth="1"/>
    <col min="776" max="776" width="10.26953125" style="1634" customWidth="1"/>
    <col min="777" max="778" width="12.08984375" style="1634" customWidth="1"/>
    <col min="779" max="779" width="16.36328125" style="1634" customWidth="1"/>
    <col min="780" max="780" width="7.08984375" style="1634" customWidth="1"/>
    <col min="781" max="781" width="44.90625" style="1634" customWidth="1"/>
    <col min="782" max="782" width="9" style="1634" customWidth="1"/>
    <col min="783" max="1024" width="8.7265625" style="1634"/>
    <col min="1025" max="1025" width="57" style="1634" customWidth="1"/>
    <col min="1026" max="1026" width="7.08984375" style="1634" customWidth="1"/>
    <col min="1027" max="1029" width="15.90625" style="1634" customWidth="1"/>
    <col min="1030" max="1030" width="28.453125" style="1634" customWidth="1"/>
    <col min="1031" max="1031" width="9" style="1634" customWidth="1"/>
    <col min="1032" max="1032" width="10.26953125" style="1634" customWidth="1"/>
    <col min="1033" max="1034" width="12.08984375" style="1634" customWidth="1"/>
    <col min="1035" max="1035" width="16.36328125" style="1634" customWidth="1"/>
    <col min="1036" max="1036" width="7.08984375" style="1634" customWidth="1"/>
    <col min="1037" max="1037" width="44.90625" style="1634" customWidth="1"/>
    <col min="1038" max="1038" width="9" style="1634" customWidth="1"/>
    <col min="1039" max="1280" width="8.7265625" style="1634"/>
    <col min="1281" max="1281" width="57" style="1634" customWidth="1"/>
    <col min="1282" max="1282" width="7.08984375" style="1634" customWidth="1"/>
    <col min="1283" max="1285" width="15.90625" style="1634" customWidth="1"/>
    <col min="1286" max="1286" width="28.453125" style="1634" customWidth="1"/>
    <col min="1287" max="1287" width="9" style="1634" customWidth="1"/>
    <col min="1288" max="1288" width="10.26953125" style="1634" customWidth="1"/>
    <col min="1289" max="1290" width="12.08984375" style="1634" customWidth="1"/>
    <col min="1291" max="1291" width="16.36328125" style="1634" customWidth="1"/>
    <col min="1292" max="1292" width="7.08984375" style="1634" customWidth="1"/>
    <col min="1293" max="1293" width="44.90625" style="1634" customWidth="1"/>
    <col min="1294" max="1294" width="9" style="1634" customWidth="1"/>
    <col min="1295" max="1536" width="8.7265625" style="1634"/>
    <col min="1537" max="1537" width="57" style="1634" customWidth="1"/>
    <col min="1538" max="1538" width="7.08984375" style="1634" customWidth="1"/>
    <col min="1539" max="1541" width="15.90625" style="1634" customWidth="1"/>
    <col min="1542" max="1542" width="28.453125" style="1634" customWidth="1"/>
    <col min="1543" max="1543" width="9" style="1634" customWidth="1"/>
    <col min="1544" max="1544" width="10.26953125" style="1634" customWidth="1"/>
    <col min="1545" max="1546" width="12.08984375" style="1634" customWidth="1"/>
    <col min="1547" max="1547" width="16.36328125" style="1634" customWidth="1"/>
    <col min="1548" max="1548" width="7.08984375" style="1634" customWidth="1"/>
    <col min="1549" max="1549" width="44.90625" style="1634" customWidth="1"/>
    <col min="1550" max="1550" width="9" style="1634" customWidth="1"/>
    <col min="1551" max="1792" width="8.7265625" style="1634"/>
    <col min="1793" max="1793" width="57" style="1634" customWidth="1"/>
    <col min="1794" max="1794" width="7.08984375" style="1634" customWidth="1"/>
    <col min="1795" max="1797" width="15.90625" style="1634" customWidth="1"/>
    <col min="1798" max="1798" width="28.453125" style="1634" customWidth="1"/>
    <col min="1799" max="1799" width="9" style="1634" customWidth="1"/>
    <col min="1800" max="1800" width="10.26953125" style="1634" customWidth="1"/>
    <col min="1801" max="1802" width="12.08984375" style="1634" customWidth="1"/>
    <col min="1803" max="1803" width="16.36328125" style="1634" customWidth="1"/>
    <col min="1804" max="1804" width="7.08984375" style="1634" customWidth="1"/>
    <col min="1805" max="1805" width="44.90625" style="1634" customWidth="1"/>
    <col min="1806" max="1806" width="9" style="1634" customWidth="1"/>
    <col min="1807" max="2048" width="8.7265625" style="1634"/>
    <col min="2049" max="2049" width="57" style="1634" customWidth="1"/>
    <col min="2050" max="2050" width="7.08984375" style="1634" customWidth="1"/>
    <col min="2051" max="2053" width="15.90625" style="1634" customWidth="1"/>
    <col min="2054" max="2054" width="28.453125" style="1634" customWidth="1"/>
    <col min="2055" max="2055" width="9" style="1634" customWidth="1"/>
    <col min="2056" max="2056" width="10.26953125" style="1634" customWidth="1"/>
    <col min="2057" max="2058" width="12.08984375" style="1634" customWidth="1"/>
    <col min="2059" max="2059" width="16.36328125" style="1634" customWidth="1"/>
    <col min="2060" max="2060" width="7.08984375" style="1634" customWidth="1"/>
    <col min="2061" max="2061" width="44.90625" style="1634" customWidth="1"/>
    <col min="2062" max="2062" width="9" style="1634" customWidth="1"/>
    <col min="2063" max="2304" width="8.7265625" style="1634"/>
    <col min="2305" max="2305" width="57" style="1634" customWidth="1"/>
    <col min="2306" max="2306" width="7.08984375" style="1634" customWidth="1"/>
    <col min="2307" max="2309" width="15.90625" style="1634" customWidth="1"/>
    <col min="2310" max="2310" width="28.453125" style="1634" customWidth="1"/>
    <col min="2311" max="2311" width="9" style="1634" customWidth="1"/>
    <col min="2312" max="2312" width="10.26953125" style="1634" customWidth="1"/>
    <col min="2313" max="2314" width="12.08984375" style="1634" customWidth="1"/>
    <col min="2315" max="2315" width="16.36328125" style="1634" customWidth="1"/>
    <col min="2316" max="2316" width="7.08984375" style="1634" customWidth="1"/>
    <col min="2317" max="2317" width="44.90625" style="1634" customWidth="1"/>
    <col min="2318" max="2318" width="9" style="1634" customWidth="1"/>
    <col min="2319" max="2560" width="8.7265625" style="1634"/>
    <col min="2561" max="2561" width="57" style="1634" customWidth="1"/>
    <col min="2562" max="2562" width="7.08984375" style="1634" customWidth="1"/>
    <col min="2563" max="2565" width="15.90625" style="1634" customWidth="1"/>
    <col min="2566" max="2566" width="28.453125" style="1634" customWidth="1"/>
    <col min="2567" max="2567" width="9" style="1634" customWidth="1"/>
    <col min="2568" max="2568" width="10.26953125" style="1634" customWidth="1"/>
    <col min="2569" max="2570" width="12.08984375" style="1634" customWidth="1"/>
    <col min="2571" max="2571" width="16.36328125" style="1634" customWidth="1"/>
    <col min="2572" max="2572" width="7.08984375" style="1634" customWidth="1"/>
    <col min="2573" max="2573" width="44.90625" style="1634" customWidth="1"/>
    <col min="2574" max="2574" width="9" style="1634" customWidth="1"/>
    <col min="2575" max="2816" width="8.7265625" style="1634"/>
    <col min="2817" max="2817" width="57" style="1634" customWidth="1"/>
    <col min="2818" max="2818" width="7.08984375" style="1634" customWidth="1"/>
    <col min="2819" max="2821" width="15.90625" style="1634" customWidth="1"/>
    <col min="2822" max="2822" width="28.453125" style="1634" customWidth="1"/>
    <col min="2823" max="2823" width="9" style="1634" customWidth="1"/>
    <col min="2824" max="2824" width="10.26953125" style="1634" customWidth="1"/>
    <col min="2825" max="2826" width="12.08984375" style="1634" customWidth="1"/>
    <col min="2827" max="2827" width="16.36328125" style="1634" customWidth="1"/>
    <col min="2828" max="2828" width="7.08984375" style="1634" customWidth="1"/>
    <col min="2829" max="2829" width="44.90625" style="1634" customWidth="1"/>
    <col min="2830" max="2830" width="9" style="1634" customWidth="1"/>
    <col min="2831" max="3072" width="8.7265625" style="1634"/>
    <col min="3073" max="3073" width="57" style="1634" customWidth="1"/>
    <col min="3074" max="3074" width="7.08984375" style="1634" customWidth="1"/>
    <col min="3075" max="3077" width="15.90625" style="1634" customWidth="1"/>
    <col min="3078" max="3078" width="28.453125" style="1634" customWidth="1"/>
    <col min="3079" max="3079" width="9" style="1634" customWidth="1"/>
    <col min="3080" max="3080" width="10.26953125" style="1634" customWidth="1"/>
    <col min="3081" max="3082" width="12.08984375" style="1634" customWidth="1"/>
    <col min="3083" max="3083" width="16.36328125" style="1634" customWidth="1"/>
    <col min="3084" max="3084" width="7.08984375" style="1634" customWidth="1"/>
    <col min="3085" max="3085" width="44.90625" style="1634" customWidth="1"/>
    <col min="3086" max="3086" width="9" style="1634" customWidth="1"/>
    <col min="3087" max="3328" width="8.7265625" style="1634"/>
    <col min="3329" max="3329" width="57" style="1634" customWidth="1"/>
    <col min="3330" max="3330" width="7.08984375" style="1634" customWidth="1"/>
    <col min="3331" max="3333" width="15.90625" style="1634" customWidth="1"/>
    <col min="3334" max="3334" width="28.453125" style="1634" customWidth="1"/>
    <col min="3335" max="3335" width="9" style="1634" customWidth="1"/>
    <col min="3336" max="3336" width="10.26953125" style="1634" customWidth="1"/>
    <col min="3337" max="3338" width="12.08984375" style="1634" customWidth="1"/>
    <col min="3339" max="3339" width="16.36328125" style="1634" customWidth="1"/>
    <col min="3340" max="3340" width="7.08984375" style="1634" customWidth="1"/>
    <col min="3341" max="3341" width="44.90625" style="1634" customWidth="1"/>
    <col min="3342" max="3342" width="9" style="1634" customWidth="1"/>
    <col min="3343" max="3584" width="8.7265625" style="1634"/>
    <col min="3585" max="3585" width="57" style="1634" customWidth="1"/>
    <col min="3586" max="3586" width="7.08984375" style="1634" customWidth="1"/>
    <col min="3587" max="3589" width="15.90625" style="1634" customWidth="1"/>
    <col min="3590" max="3590" width="28.453125" style="1634" customWidth="1"/>
    <col min="3591" max="3591" width="9" style="1634" customWidth="1"/>
    <col min="3592" max="3592" width="10.26953125" style="1634" customWidth="1"/>
    <col min="3593" max="3594" width="12.08984375" style="1634" customWidth="1"/>
    <col min="3595" max="3595" width="16.36328125" style="1634" customWidth="1"/>
    <col min="3596" max="3596" width="7.08984375" style="1634" customWidth="1"/>
    <col min="3597" max="3597" width="44.90625" style="1634" customWidth="1"/>
    <col min="3598" max="3598" width="9" style="1634" customWidth="1"/>
    <col min="3599" max="3840" width="8.7265625" style="1634"/>
    <col min="3841" max="3841" width="57" style="1634" customWidth="1"/>
    <col min="3842" max="3842" width="7.08984375" style="1634" customWidth="1"/>
    <col min="3843" max="3845" width="15.90625" style="1634" customWidth="1"/>
    <col min="3846" max="3846" width="28.453125" style="1634" customWidth="1"/>
    <col min="3847" max="3847" width="9" style="1634" customWidth="1"/>
    <col min="3848" max="3848" width="10.26953125" style="1634" customWidth="1"/>
    <col min="3849" max="3850" width="12.08984375" style="1634" customWidth="1"/>
    <col min="3851" max="3851" width="16.36328125" style="1634" customWidth="1"/>
    <col min="3852" max="3852" width="7.08984375" style="1634" customWidth="1"/>
    <col min="3853" max="3853" width="44.90625" style="1634" customWidth="1"/>
    <col min="3854" max="3854" width="9" style="1634" customWidth="1"/>
    <col min="3855" max="4096" width="8.7265625" style="1634"/>
    <col min="4097" max="4097" width="57" style="1634" customWidth="1"/>
    <col min="4098" max="4098" width="7.08984375" style="1634" customWidth="1"/>
    <col min="4099" max="4101" width="15.90625" style="1634" customWidth="1"/>
    <col min="4102" max="4102" width="28.453125" style="1634" customWidth="1"/>
    <col min="4103" max="4103" width="9" style="1634" customWidth="1"/>
    <col min="4104" max="4104" width="10.26953125" style="1634" customWidth="1"/>
    <col min="4105" max="4106" width="12.08984375" style="1634" customWidth="1"/>
    <col min="4107" max="4107" width="16.36328125" style="1634" customWidth="1"/>
    <col min="4108" max="4108" width="7.08984375" style="1634" customWidth="1"/>
    <col min="4109" max="4109" width="44.90625" style="1634" customWidth="1"/>
    <col min="4110" max="4110" width="9" style="1634" customWidth="1"/>
    <col min="4111" max="4352" width="8.7265625" style="1634"/>
    <col min="4353" max="4353" width="57" style="1634" customWidth="1"/>
    <col min="4354" max="4354" width="7.08984375" style="1634" customWidth="1"/>
    <col min="4355" max="4357" width="15.90625" style="1634" customWidth="1"/>
    <col min="4358" max="4358" width="28.453125" style="1634" customWidth="1"/>
    <col min="4359" max="4359" width="9" style="1634" customWidth="1"/>
    <col min="4360" max="4360" width="10.26953125" style="1634" customWidth="1"/>
    <col min="4361" max="4362" width="12.08984375" style="1634" customWidth="1"/>
    <col min="4363" max="4363" width="16.36328125" style="1634" customWidth="1"/>
    <col min="4364" max="4364" width="7.08984375" style="1634" customWidth="1"/>
    <col min="4365" max="4365" width="44.90625" style="1634" customWidth="1"/>
    <col min="4366" max="4366" width="9" style="1634" customWidth="1"/>
    <col min="4367" max="4608" width="8.7265625" style="1634"/>
    <col min="4609" max="4609" width="57" style="1634" customWidth="1"/>
    <col min="4610" max="4610" width="7.08984375" style="1634" customWidth="1"/>
    <col min="4611" max="4613" width="15.90625" style="1634" customWidth="1"/>
    <col min="4614" max="4614" width="28.453125" style="1634" customWidth="1"/>
    <col min="4615" max="4615" width="9" style="1634" customWidth="1"/>
    <col min="4616" max="4616" width="10.26953125" style="1634" customWidth="1"/>
    <col min="4617" max="4618" width="12.08984375" style="1634" customWidth="1"/>
    <col min="4619" max="4619" width="16.36328125" style="1634" customWidth="1"/>
    <col min="4620" max="4620" width="7.08984375" style="1634" customWidth="1"/>
    <col min="4621" max="4621" width="44.90625" style="1634" customWidth="1"/>
    <col min="4622" max="4622" width="9" style="1634" customWidth="1"/>
    <col min="4623" max="4864" width="8.7265625" style="1634"/>
    <col min="4865" max="4865" width="57" style="1634" customWidth="1"/>
    <col min="4866" max="4866" width="7.08984375" style="1634" customWidth="1"/>
    <col min="4867" max="4869" width="15.90625" style="1634" customWidth="1"/>
    <col min="4870" max="4870" width="28.453125" style="1634" customWidth="1"/>
    <col min="4871" max="4871" width="9" style="1634" customWidth="1"/>
    <col min="4872" max="4872" width="10.26953125" style="1634" customWidth="1"/>
    <col min="4873" max="4874" width="12.08984375" style="1634" customWidth="1"/>
    <col min="4875" max="4875" width="16.36328125" style="1634" customWidth="1"/>
    <col min="4876" max="4876" width="7.08984375" style="1634" customWidth="1"/>
    <col min="4877" max="4877" width="44.90625" style="1634" customWidth="1"/>
    <col min="4878" max="4878" width="9" style="1634" customWidth="1"/>
    <col min="4879" max="5120" width="8.7265625" style="1634"/>
    <col min="5121" max="5121" width="57" style="1634" customWidth="1"/>
    <col min="5122" max="5122" width="7.08984375" style="1634" customWidth="1"/>
    <col min="5123" max="5125" width="15.90625" style="1634" customWidth="1"/>
    <col min="5126" max="5126" width="28.453125" style="1634" customWidth="1"/>
    <col min="5127" max="5127" width="9" style="1634" customWidth="1"/>
    <col min="5128" max="5128" width="10.26953125" style="1634" customWidth="1"/>
    <col min="5129" max="5130" width="12.08984375" style="1634" customWidth="1"/>
    <col min="5131" max="5131" width="16.36328125" style="1634" customWidth="1"/>
    <col min="5132" max="5132" width="7.08984375" style="1634" customWidth="1"/>
    <col min="5133" max="5133" width="44.90625" style="1634" customWidth="1"/>
    <col min="5134" max="5134" width="9" style="1634" customWidth="1"/>
    <col min="5135" max="5376" width="8.7265625" style="1634"/>
    <col min="5377" max="5377" width="57" style="1634" customWidth="1"/>
    <col min="5378" max="5378" width="7.08984375" style="1634" customWidth="1"/>
    <col min="5379" max="5381" width="15.90625" style="1634" customWidth="1"/>
    <col min="5382" max="5382" width="28.453125" style="1634" customWidth="1"/>
    <col min="5383" max="5383" width="9" style="1634" customWidth="1"/>
    <col min="5384" max="5384" width="10.26953125" style="1634" customWidth="1"/>
    <col min="5385" max="5386" width="12.08984375" style="1634" customWidth="1"/>
    <col min="5387" max="5387" width="16.36328125" style="1634" customWidth="1"/>
    <col min="5388" max="5388" width="7.08984375" style="1634" customWidth="1"/>
    <col min="5389" max="5389" width="44.90625" style="1634" customWidth="1"/>
    <col min="5390" max="5390" width="9" style="1634" customWidth="1"/>
    <col min="5391" max="5632" width="8.7265625" style="1634"/>
    <col min="5633" max="5633" width="57" style="1634" customWidth="1"/>
    <col min="5634" max="5634" width="7.08984375" style="1634" customWidth="1"/>
    <col min="5635" max="5637" width="15.90625" style="1634" customWidth="1"/>
    <col min="5638" max="5638" width="28.453125" style="1634" customWidth="1"/>
    <col min="5639" max="5639" width="9" style="1634" customWidth="1"/>
    <col min="5640" max="5640" width="10.26953125" style="1634" customWidth="1"/>
    <col min="5641" max="5642" width="12.08984375" style="1634" customWidth="1"/>
    <col min="5643" max="5643" width="16.36328125" style="1634" customWidth="1"/>
    <col min="5644" max="5644" width="7.08984375" style="1634" customWidth="1"/>
    <col min="5645" max="5645" width="44.90625" style="1634" customWidth="1"/>
    <col min="5646" max="5646" width="9" style="1634" customWidth="1"/>
    <col min="5647" max="5888" width="8.7265625" style="1634"/>
    <col min="5889" max="5889" width="57" style="1634" customWidth="1"/>
    <col min="5890" max="5890" width="7.08984375" style="1634" customWidth="1"/>
    <col min="5891" max="5893" width="15.90625" style="1634" customWidth="1"/>
    <col min="5894" max="5894" width="28.453125" style="1634" customWidth="1"/>
    <col min="5895" max="5895" width="9" style="1634" customWidth="1"/>
    <col min="5896" max="5896" width="10.26953125" style="1634" customWidth="1"/>
    <col min="5897" max="5898" width="12.08984375" style="1634" customWidth="1"/>
    <col min="5899" max="5899" width="16.36328125" style="1634" customWidth="1"/>
    <col min="5900" max="5900" width="7.08984375" style="1634" customWidth="1"/>
    <col min="5901" max="5901" width="44.90625" style="1634" customWidth="1"/>
    <col min="5902" max="5902" width="9" style="1634" customWidth="1"/>
    <col min="5903" max="6144" width="8.7265625" style="1634"/>
    <col min="6145" max="6145" width="57" style="1634" customWidth="1"/>
    <col min="6146" max="6146" width="7.08984375" style="1634" customWidth="1"/>
    <col min="6147" max="6149" width="15.90625" style="1634" customWidth="1"/>
    <col min="6150" max="6150" width="28.453125" style="1634" customWidth="1"/>
    <col min="6151" max="6151" width="9" style="1634" customWidth="1"/>
    <col min="6152" max="6152" width="10.26953125" style="1634" customWidth="1"/>
    <col min="6153" max="6154" width="12.08984375" style="1634" customWidth="1"/>
    <col min="6155" max="6155" width="16.36328125" style="1634" customWidth="1"/>
    <col min="6156" max="6156" width="7.08984375" style="1634" customWidth="1"/>
    <col min="6157" max="6157" width="44.90625" style="1634" customWidth="1"/>
    <col min="6158" max="6158" width="9" style="1634" customWidth="1"/>
    <col min="6159" max="6400" width="8.7265625" style="1634"/>
    <col min="6401" max="6401" width="57" style="1634" customWidth="1"/>
    <col min="6402" max="6402" width="7.08984375" style="1634" customWidth="1"/>
    <col min="6403" max="6405" width="15.90625" style="1634" customWidth="1"/>
    <col min="6406" max="6406" width="28.453125" style="1634" customWidth="1"/>
    <col min="6407" max="6407" width="9" style="1634" customWidth="1"/>
    <col min="6408" max="6408" width="10.26953125" style="1634" customWidth="1"/>
    <col min="6409" max="6410" width="12.08984375" style="1634" customWidth="1"/>
    <col min="6411" max="6411" width="16.36328125" style="1634" customWidth="1"/>
    <col min="6412" max="6412" width="7.08984375" style="1634" customWidth="1"/>
    <col min="6413" max="6413" width="44.90625" style="1634" customWidth="1"/>
    <col min="6414" max="6414" width="9" style="1634" customWidth="1"/>
    <col min="6415" max="6656" width="8.7265625" style="1634"/>
    <col min="6657" max="6657" width="57" style="1634" customWidth="1"/>
    <col min="6658" max="6658" width="7.08984375" style="1634" customWidth="1"/>
    <col min="6659" max="6661" width="15.90625" style="1634" customWidth="1"/>
    <col min="6662" max="6662" width="28.453125" style="1634" customWidth="1"/>
    <col min="6663" max="6663" width="9" style="1634" customWidth="1"/>
    <col min="6664" max="6664" width="10.26953125" style="1634" customWidth="1"/>
    <col min="6665" max="6666" width="12.08984375" style="1634" customWidth="1"/>
    <col min="6667" max="6667" width="16.36328125" style="1634" customWidth="1"/>
    <col min="6668" max="6668" width="7.08984375" style="1634" customWidth="1"/>
    <col min="6669" max="6669" width="44.90625" style="1634" customWidth="1"/>
    <col min="6670" max="6670" width="9" style="1634" customWidth="1"/>
    <col min="6671" max="6912" width="8.7265625" style="1634"/>
    <col min="6913" max="6913" width="57" style="1634" customWidth="1"/>
    <col min="6914" max="6914" width="7.08984375" style="1634" customWidth="1"/>
    <col min="6915" max="6917" width="15.90625" style="1634" customWidth="1"/>
    <col min="6918" max="6918" width="28.453125" style="1634" customWidth="1"/>
    <col min="6919" max="6919" width="9" style="1634" customWidth="1"/>
    <col min="6920" max="6920" width="10.26953125" style="1634" customWidth="1"/>
    <col min="6921" max="6922" width="12.08984375" style="1634" customWidth="1"/>
    <col min="6923" max="6923" width="16.36328125" style="1634" customWidth="1"/>
    <col min="6924" max="6924" width="7.08984375" style="1634" customWidth="1"/>
    <col min="6925" max="6925" width="44.90625" style="1634" customWidth="1"/>
    <col min="6926" max="6926" width="9" style="1634" customWidth="1"/>
    <col min="6927" max="7168" width="8.7265625" style="1634"/>
    <col min="7169" max="7169" width="57" style="1634" customWidth="1"/>
    <col min="7170" max="7170" width="7.08984375" style="1634" customWidth="1"/>
    <col min="7171" max="7173" width="15.90625" style="1634" customWidth="1"/>
    <col min="7174" max="7174" width="28.453125" style="1634" customWidth="1"/>
    <col min="7175" max="7175" width="9" style="1634" customWidth="1"/>
    <col min="7176" max="7176" width="10.26953125" style="1634" customWidth="1"/>
    <col min="7177" max="7178" width="12.08984375" style="1634" customWidth="1"/>
    <col min="7179" max="7179" width="16.36328125" style="1634" customWidth="1"/>
    <col min="7180" max="7180" width="7.08984375" style="1634" customWidth="1"/>
    <col min="7181" max="7181" width="44.90625" style="1634" customWidth="1"/>
    <col min="7182" max="7182" width="9" style="1634" customWidth="1"/>
    <col min="7183" max="7424" width="8.7265625" style="1634"/>
    <col min="7425" max="7425" width="57" style="1634" customWidth="1"/>
    <col min="7426" max="7426" width="7.08984375" style="1634" customWidth="1"/>
    <col min="7427" max="7429" width="15.90625" style="1634" customWidth="1"/>
    <col min="7430" max="7430" width="28.453125" style="1634" customWidth="1"/>
    <col min="7431" max="7431" width="9" style="1634" customWidth="1"/>
    <col min="7432" max="7432" width="10.26953125" style="1634" customWidth="1"/>
    <col min="7433" max="7434" width="12.08984375" style="1634" customWidth="1"/>
    <col min="7435" max="7435" width="16.36328125" style="1634" customWidth="1"/>
    <col min="7436" max="7436" width="7.08984375" style="1634" customWidth="1"/>
    <col min="7437" max="7437" width="44.90625" style="1634" customWidth="1"/>
    <col min="7438" max="7438" width="9" style="1634" customWidth="1"/>
    <col min="7439" max="7680" width="8.7265625" style="1634"/>
    <col min="7681" max="7681" width="57" style="1634" customWidth="1"/>
    <col min="7682" max="7682" width="7.08984375" style="1634" customWidth="1"/>
    <col min="7683" max="7685" width="15.90625" style="1634" customWidth="1"/>
    <col min="7686" max="7686" width="28.453125" style="1634" customWidth="1"/>
    <col min="7687" max="7687" width="9" style="1634" customWidth="1"/>
    <col min="7688" max="7688" width="10.26953125" style="1634" customWidth="1"/>
    <col min="7689" max="7690" width="12.08984375" style="1634" customWidth="1"/>
    <col min="7691" max="7691" width="16.36328125" style="1634" customWidth="1"/>
    <col min="7692" max="7692" width="7.08984375" style="1634" customWidth="1"/>
    <col min="7693" max="7693" width="44.90625" style="1634" customWidth="1"/>
    <col min="7694" max="7694" width="9" style="1634" customWidth="1"/>
    <col min="7695" max="7936" width="8.7265625" style="1634"/>
    <col min="7937" max="7937" width="57" style="1634" customWidth="1"/>
    <col min="7938" max="7938" width="7.08984375" style="1634" customWidth="1"/>
    <col min="7939" max="7941" width="15.90625" style="1634" customWidth="1"/>
    <col min="7942" max="7942" width="28.453125" style="1634" customWidth="1"/>
    <col min="7943" max="7943" width="9" style="1634" customWidth="1"/>
    <col min="7944" max="7944" width="10.26953125" style="1634" customWidth="1"/>
    <col min="7945" max="7946" width="12.08984375" style="1634" customWidth="1"/>
    <col min="7947" max="7947" width="16.36328125" style="1634" customWidth="1"/>
    <col min="7948" max="7948" width="7.08984375" style="1634" customWidth="1"/>
    <col min="7949" max="7949" width="44.90625" style="1634" customWidth="1"/>
    <col min="7950" max="7950" width="9" style="1634" customWidth="1"/>
    <col min="7951" max="8192" width="8.7265625" style="1634"/>
    <col min="8193" max="8193" width="57" style="1634" customWidth="1"/>
    <col min="8194" max="8194" width="7.08984375" style="1634" customWidth="1"/>
    <col min="8195" max="8197" width="15.90625" style="1634" customWidth="1"/>
    <col min="8198" max="8198" width="28.453125" style="1634" customWidth="1"/>
    <col min="8199" max="8199" width="9" style="1634" customWidth="1"/>
    <col min="8200" max="8200" width="10.26953125" style="1634" customWidth="1"/>
    <col min="8201" max="8202" width="12.08984375" style="1634" customWidth="1"/>
    <col min="8203" max="8203" width="16.36328125" style="1634" customWidth="1"/>
    <col min="8204" max="8204" width="7.08984375" style="1634" customWidth="1"/>
    <col min="8205" max="8205" width="44.90625" style="1634" customWidth="1"/>
    <col min="8206" max="8206" width="9" style="1634" customWidth="1"/>
    <col min="8207" max="8448" width="8.7265625" style="1634"/>
    <col min="8449" max="8449" width="57" style="1634" customWidth="1"/>
    <col min="8450" max="8450" width="7.08984375" style="1634" customWidth="1"/>
    <col min="8451" max="8453" width="15.90625" style="1634" customWidth="1"/>
    <col min="8454" max="8454" width="28.453125" style="1634" customWidth="1"/>
    <col min="8455" max="8455" width="9" style="1634" customWidth="1"/>
    <col min="8456" max="8456" width="10.26953125" style="1634" customWidth="1"/>
    <col min="8457" max="8458" width="12.08984375" style="1634" customWidth="1"/>
    <col min="8459" max="8459" width="16.36328125" style="1634" customWidth="1"/>
    <col min="8460" max="8460" width="7.08984375" style="1634" customWidth="1"/>
    <col min="8461" max="8461" width="44.90625" style="1634" customWidth="1"/>
    <col min="8462" max="8462" width="9" style="1634" customWidth="1"/>
    <col min="8463" max="8704" width="8.7265625" style="1634"/>
    <col min="8705" max="8705" width="57" style="1634" customWidth="1"/>
    <col min="8706" max="8706" width="7.08984375" style="1634" customWidth="1"/>
    <col min="8707" max="8709" width="15.90625" style="1634" customWidth="1"/>
    <col min="8710" max="8710" width="28.453125" style="1634" customWidth="1"/>
    <col min="8711" max="8711" width="9" style="1634" customWidth="1"/>
    <col min="8712" max="8712" width="10.26953125" style="1634" customWidth="1"/>
    <col min="8713" max="8714" width="12.08984375" style="1634" customWidth="1"/>
    <col min="8715" max="8715" width="16.36328125" style="1634" customWidth="1"/>
    <col min="8716" max="8716" width="7.08984375" style="1634" customWidth="1"/>
    <col min="8717" max="8717" width="44.90625" style="1634" customWidth="1"/>
    <col min="8718" max="8718" width="9" style="1634" customWidth="1"/>
    <col min="8719" max="8960" width="8.7265625" style="1634"/>
    <col min="8961" max="8961" width="57" style="1634" customWidth="1"/>
    <col min="8962" max="8962" width="7.08984375" style="1634" customWidth="1"/>
    <col min="8963" max="8965" width="15.90625" style="1634" customWidth="1"/>
    <col min="8966" max="8966" width="28.453125" style="1634" customWidth="1"/>
    <col min="8967" max="8967" width="9" style="1634" customWidth="1"/>
    <col min="8968" max="8968" width="10.26953125" style="1634" customWidth="1"/>
    <col min="8969" max="8970" width="12.08984375" style="1634" customWidth="1"/>
    <col min="8971" max="8971" width="16.36328125" style="1634" customWidth="1"/>
    <col min="8972" max="8972" width="7.08984375" style="1634" customWidth="1"/>
    <col min="8973" max="8973" width="44.90625" style="1634" customWidth="1"/>
    <col min="8974" max="8974" width="9" style="1634" customWidth="1"/>
    <col min="8975" max="9216" width="8.7265625" style="1634"/>
    <col min="9217" max="9217" width="57" style="1634" customWidth="1"/>
    <col min="9218" max="9218" width="7.08984375" style="1634" customWidth="1"/>
    <col min="9219" max="9221" width="15.90625" style="1634" customWidth="1"/>
    <col min="9222" max="9222" width="28.453125" style="1634" customWidth="1"/>
    <col min="9223" max="9223" width="9" style="1634" customWidth="1"/>
    <col min="9224" max="9224" width="10.26953125" style="1634" customWidth="1"/>
    <col min="9225" max="9226" width="12.08984375" style="1634" customWidth="1"/>
    <col min="9227" max="9227" width="16.36328125" style="1634" customWidth="1"/>
    <col min="9228" max="9228" width="7.08984375" style="1634" customWidth="1"/>
    <col min="9229" max="9229" width="44.90625" style="1634" customWidth="1"/>
    <col min="9230" max="9230" width="9" style="1634" customWidth="1"/>
    <col min="9231" max="9472" width="8.7265625" style="1634"/>
    <col min="9473" max="9473" width="57" style="1634" customWidth="1"/>
    <col min="9474" max="9474" width="7.08984375" style="1634" customWidth="1"/>
    <col min="9475" max="9477" width="15.90625" style="1634" customWidth="1"/>
    <col min="9478" max="9478" width="28.453125" style="1634" customWidth="1"/>
    <col min="9479" max="9479" width="9" style="1634" customWidth="1"/>
    <col min="9480" max="9480" width="10.26953125" style="1634" customWidth="1"/>
    <col min="9481" max="9482" width="12.08984375" style="1634" customWidth="1"/>
    <col min="9483" max="9483" width="16.36328125" style="1634" customWidth="1"/>
    <col min="9484" max="9484" width="7.08984375" style="1634" customWidth="1"/>
    <col min="9485" max="9485" width="44.90625" style="1634" customWidth="1"/>
    <col min="9486" max="9486" width="9" style="1634" customWidth="1"/>
    <col min="9487" max="9728" width="8.7265625" style="1634"/>
    <col min="9729" max="9729" width="57" style="1634" customWidth="1"/>
    <col min="9730" max="9730" width="7.08984375" style="1634" customWidth="1"/>
    <col min="9731" max="9733" width="15.90625" style="1634" customWidth="1"/>
    <col min="9734" max="9734" width="28.453125" style="1634" customWidth="1"/>
    <col min="9735" max="9735" width="9" style="1634" customWidth="1"/>
    <col min="9736" max="9736" width="10.26953125" style="1634" customWidth="1"/>
    <col min="9737" max="9738" width="12.08984375" style="1634" customWidth="1"/>
    <col min="9739" max="9739" width="16.36328125" style="1634" customWidth="1"/>
    <col min="9740" max="9740" width="7.08984375" style="1634" customWidth="1"/>
    <col min="9741" max="9741" width="44.90625" style="1634" customWidth="1"/>
    <col min="9742" max="9742" width="9" style="1634" customWidth="1"/>
    <col min="9743" max="9984" width="8.7265625" style="1634"/>
    <col min="9985" max="9985" width="57" style="1634" customWidth="1"/>
    <col min="9986" max="9986" width="7.08984375" style="1634" customWidth="1"/>
    <col min="9987" max="9989" width="15.90625" style="1634" customWidth="1"/>
    <col min="9990" max="9990" width="28.453125" style="1634" customWidth="1"/>
    <col min="9991" max="9991" width="9" style="1634" customWidth="1"/>
    <col min="9992" max="9992" width="10.26953125" style="1634" customWidth="1"/>
    <col min="9993" max="9994" width="12.08984375" style="1634" customWidth="1"/>
    <col min="9995" max="9995" width="16.36328125" style="1634" customWidth="1"/>
    <col min="9996" max="9996" width="7.08984375" style="1634" customWidth="1"/>
    <col min="9997" max="9997" width="44.90625" style="1634" customWidth="1"/>
    <col min="9998" max="9998" width="9" style="1634" customWidth="1"/>
    <col min="9999" max="10240" width="8.7265625" style="1634"/>
    <col min="10241" max="10241" width="57" style="1634" customWidth="1"/>
    <col min="10242" max="10242" width="7.08984375" style="1634" customWidth="1"/>
    <col min="10243" max="10245" width="15.90625" style="1634" customWidth="1"/>
    <col min="10246" max="10246" width="28.453125" style="1634" customWidth="1"/>
    <col min="10247" max="10247" width="9" style="1634" customWidth="1"/>
    <col min="10248" max="10248" width="10.26953125" style="1634" customWidth="1"/>
    <col min="10249" max="10250" width="12.08984375" style="1634" customWidth="1"/>
    <col min="10251" max="10251" width="16.36328125" style="1634" customWidth="1"/>
    <col min="10252" max="10252" width="7.08984375" style="1634" customWidth="1"/>
    <col min="10253" max="10253" width="44.90625" style="1634" customWidth="1"/>
    <col min="10254" max="10254" width="9" style="1634" customWidth="1"/>
    <col min="10255" max="10496" width="8.7265625" style="1634"/>
    <col min="10497" max="10497" width="57" style="1634" customWidth="1"/>
    <col min="10498" max="10498" width="7.08984375" style="1634" customWidth="1"/>
    <col min="10499" max="10501" width="15.90625" style="1634" customWidth="1"/>
    <col min="10502" max="10502" width="28.453125" style="1634" customWidth="1"/>
    <col min="10503" max="10503" width="9" style="1634" customWidth="1"/>
    <col min="10504" max="10504" width="10.26953125" style="1634" customWidth="1"/>
    <col min="10505" max="10506" width="12.08984375" style="1634" customWidth="1"/>
    <col min="10507" max="10507" width="16.36328125" style="1634" customWidth="1"/>
    <col min="10508" max="10508" width="7.08984375" style="1634" customWidth="1"/>
    <col min="10509" max="10509" width="44.90625" style="1634" customWidth="1"/>
    <col min="10510" max="10510" width="9" style="1634" customWidth="1"/>
    <col min="10511" max="10752" width="8.7265625" style="1634"/>
    <col min="10753" max="10753" width="57" style="1634" customWidth="1"/>
    <col min="10754" max="10754" width="7.08984375" style="1634" customWidth="1"/>
    <col min="10755" max="10757" width="15.90625" style="1634" customWidth="1"/>
    <col min="10758" max="10758" width="28.453125" style="1634" customWidth="1"/>
    <col min="10759" max="10759" width="9" style="1634" customWidth="1"/>
    <col min="10760" max="10760" width="10.26953125" style="1634" customWidth="1"/>
    <col min="10761" max="10762" width="12.08984375" style="1634" customWidth="1"/>
    <col min="10763" max="10763" width="16.36328125" style="1634" customWidth="1"/>
    <col min="10764" max="10764" width="7.08984375" style="1634" customWidth="1"/>
    <col min="10765" max="10765" width="44.90625" style="1634" customWidth="1"/>
    <col min="10766" max="10766" width="9" style="1634" customWidth="1"/>
    <col min="10767" max="11008" width="8.7265625" style="1634"/>
    <col min="11009" max="11009" width="57" style="1634" customWidth="1"/>
    <col min="11010" max="11010" width="7.08984375" style="1634" customWidth="1"/>
    <col min="11011" max="11013" width="15.90625" style="1634" customWidth="1"/>
    <col min="11014" max="11014" width="28.453125" style="1634" customWidth="1"/>
    <col min="11015" max="11015" width="9" style="1634" customWidth="1"/>
    <col min="11016" max="11016" width="10.26953125" style="1634" customWidth="1"/>
    <col min="11017" max="11018" width="12.08984375" style="1634" customWidth="1"/>
    <col min="11019" max="11019" width="16.36328125" style="1634" customWidth="1"/>
    <col min="11020" max="11020" width="7.08984375" style="1634" customWidth="1"/>
    <col min="11021" max="11021" width="44.90625" style="1634" customWidth="1"/>
    <col min="11022" max="11022" width="9" style="1634" customWidth="1"/>
    <col min="11023" max="11264" width="8.7265625" style="1634"/>
    <col min="11265" max="11265" width="57" style="1634" customWidth="1"/>
    <col min="11266" max="11266" width="7.08984375" style="1634" customWidth="1"/>
    <col min="11267" max="11269" width="15.90625" style="1634" customWidth="1"/>
    <col min="11270" max="11270" width="28.453125" style="1634" customWidth="1"/>
    <col min="11271" max="11271" width="9" style="1634" customWidth="1"/>
    <col min="11272" max="11272" width="10.26953125" style="1634" customWidth="1"/>
    <col min="11273" max="11274" width="12.08984375" style="1634" customWidth="1"/>
    <col min="11275" max="11275" width="16.36328125" style="1634" customWidth="1"/>
    <col min="11276" max="11276" width="7.08984375" style="1634" customWidth="1"/>
    <col min="11277" max="11277" width="44.90625" style="1634" customWidth="1"/>
    <col min="11278" max="11278" width="9" style="1634" customWidth="1"/>
    <col min="11279" max="11520" width="8.7265625" style="1634"/>
    <col min="11521" max="11521" width="57" style="1634" customWidth="1"/>
    <col min="11522" max="11522" width="7.08984375" style="1634" customWidth="1"/>
    <col min="11523" max="11525" width="15.90625" style="1634" customWidth="1"/>
    <col min="11526" max="11526" width="28.453125" style="1634" customWidth="1"/>
    <col min="11527" max="11527" width="9" style="1634" customWidth="1"/>
    <col min="11528" max="11528" width="10.26953125" style="1634" customWidth="1"/>
    <col min="11529" max="11530" width="12.08984375" style="1634" customWidth="1"/>
    <col min="11531" max="11531" width="16.36328125" style="1634" customWidth="1"/>
    <col min="11532" max="11532" width="7.08984375" style="1634" customWidth="1"/>
    <col min="11533" max="11533" width="44.90625" style="1634" customWidth="1"/>
    <col min="11534" max="11534" width="9" style="1634" customWidth="1"/>
    <col min="11535" max="11776" width="8.7265625" style="1634"/>
    <col min="11777" max="11777" width="57" style="1634" customWidth="1"/>
    <col min="11778" max="11778" width="7.08984375" style="1634" customWidth="1"/>
    <col min="11779" max="11781" width="15.90625" style="1634" customWidth="1"/>
    <col min="11782" max="11782" width="28.453125" style="1634" customWidth="1"/>
    <col min="11783" max="11783" width="9" style="1634" customWidth="1"/>
    <col min="11784" max="11784" width="10.26953125" style="1634" customWidth="1"/>
    <col min="11785" max="11786" width="12.08984375" style="1634" customWidth="1"/>
    <col min="11787" max="11787" width="16.36328125" style="1634" customWidth="1"/>
    <col min="11788" max="11788" width="7.08984375" style="1634" customWidth="1"/>
    <col min="11789" max="11789" width="44.90625" style="1634" customWidth="1"/>
    <col min="11790" max="11790" width="9" style="1634" customWidth="1"/>
    <col min="11791" max="12032" width="8.7265625" style="1634"/>
    <col min="12033" max="12033" width="57" style="1634" customWidth="1"/>
    <col min="12034" max="12034" width="7.08984375" style="1634" customWidth="1"/>
    <col min="12035" max="12037" width="15.90625" style="1634" customWidth="1"/>
    <col min="12038" max="12038" width="28.453125" style="1634" customWidth="1"/>
    <col min="12039" max="12039" width="9" style="1634" customWidth="1"/>
    <col min="12040" max="12040" width="10.26953125" style="1634" customWidth="1"/>
    <col min="12041" max="12042" width="12.08984375" style="1634" customWidth="1"/>
    <col min="12043" max="12043" width="16.36328125" style="1634" customWidth="1"/>
    <col min="12044" max="12044" width="7.08984375" style="1634" customWidth="1"/>
    <col min="12045" max="12045" width="44.90625" style="1634" customWidth="1"/>
    <col min="12046" max="12046" width="9" style="1634" customWidth="1"/>
    <col min="12047" max="12288" width="8.7265625" style="1634"/>
    <col min="12289" max="12289" width="57" style="1634" customWidth="1"/>
    <col min="12290" max="12290" width="7.08984375" style="1634" customWidth="1"/>
    <col min="12291" max="12293" width="15.90625" style="1634" customWidth="1"/>
    <col min="12294" max="12294" width="28.453125" style="1634" customWidth="1"/>
    <col min="12295" max="12295" width="9" style="1634" customWidth="1"/>
    <col min="12296" max="12296" width="10.26953125" style="1634" customWidth="1"/>
    <col min="12297" max="12298" width="12.08984375" style="1634" customWidth="1"/>
    <col min="12299" max="12299" width="16.36328125" style="1634" customWidth="1"/>
    <col min="12300" max="12300" width="7.08984375" style="1634" customWidth="1"/>
    <col min="12301" max="12301" width="44.90625" style="1634" customWidth="1"/>
    <col min="12302" max="12302" width="9" style="1634" customWidth="1"/>
    <col min="12303" max="12544" width="8.7265625" style="1634"/>
    <col min="12545" max="12545" width="57" style="1634" customWidth="1"/>
    <col min="12546" max="12546" width="7.08984375" style="1634" customWidth="1"/>
    <col min="12547" max="12549" width="15.90625" style="1634" customWidth="1"/>
    <col min="12550" max="12550" width="28.453125" style="1634" customWidth="1"/>
    <col min="12551" max="12551" width="9" style="1634" customWidth="1"/>
    <col min="12552" max="12552" width="10.26953125" style="1634" customWidth="1"/>
    <col min="12553" max="12554" width="12.08984375" style="1634" customWidth="1"/>
    <col min="12555" max="12555" width="16.36328125" style="1634" customWidth="1"/>
    <col min="12556" max="12556" width="7.08984375" style="1634" customWidth="1"/>
    <col min="12557" max="12557" width="44.90625" style="1634" customWidth="1"/>
    <col min="12558" max="12558" width="9" style="1634" customWidth="1"/>
    <col min="12559" max="12800" width="8.7265625" style="1634"/>
    <col min="12801" max="12801" width="57" style="1634" customWidth="1"/>
    <col min="12802" max="12802" width="7.08984375" style="1634" customWidth="1"/>
    <col min="12803" max="12805" width="15.90625" style="1634" customWidth="1"/>
    <col min="12806" max="12806" width="28.453125" style="1634" customWidth="1"/>
    <col min="12807" max="12807" width="9" style="1634" customWidth="1"/>
    <col min="12808" max="12808" width="10.26953125" style="1634" customWidth="1"/>
    <col min="12809" max="12810" width="12.08984375" style="1634" customWidth="1"/>
    <col min="12811" max="12811" width="16.36328125" style="1634" customWidth="1"/>
    <col min="12812" max="12812" width="7.08984375" style="1634" customWidth="1"/>
    <col min="12813" max="12813" width="44.90625" style="1634" customWidth="1"/>
    <col min="12814" max="12814" width="9" style="1634" customWidth="1"/>
    <col min="12815" max="13056" width="8.7265625" style="1634"/>
    <col min="13057" max="13057" width="57" style="1634" customWidth="1"/>
    <col min="13058" max="13058" width="7.08984375" style="1634" customWidth="1"/>
    <col min="13059" max="13061" width="15.90625" style="1634" customWidth="1"/>
    <col min="13062" max="13062" width="28.453125" style="1634" customWidth="1"/>
    <col min="13063" max="13063" width="9" style="1634" customWidth="1"/>
    <col min="13064" max="13064" width="10.26953125" style="1634" customWidth="1"/>
    <col min="13065" max="13066" width="12.08984375" style="1634" customWidth="1"/>
    <col min="13067" max="13067" width="16.36328125" style="1634" customWidth="1"/>
    <col min="13068" max="13068" width="7.08984375" style="1634" customWidth="1"/>
    <col min="13069" max="13069" width="44.90625" style="1634" customWidth="1"/>
    <col min="13070" max="13070" width="9" style="1634" customWidth="1"/>
    <col min="13071" max="13312" width="8.7265625" style="1634"/>
    <col min="13313" max="13313" width="57" style="1634" customWidth="1"/>
    <col min="13314" max="13314" width="7.08984375" style="1634" customWidth="1"/>
    <col min="13315" max="13317" width="15.90625" style="1634" customWidth="1"/>
    <col min="13318" max="13318" width="28.453125" style="1634" customWidth="1"/>
    <col min="13319" max="13319" width="9" style="1634" customWidth="1"/>
    <col min="13320" max="13320" width="10.26953125" style="1634" customWidth="1"/>
    <col min="13321" max="13322" width="12.08984375" style="1634" customWidth="1"/>
    <col min="13323" max="13323" width="16.36328125" style="1634" customWidth="1"/>
    <col min="13324" max="13324" width="7.08984375" style="1634" customWidth="1"/>
    <col min="13325" max="13325" width="44.90625" style="1634" customWidth="1"/>
    <col min="13326" max="13326" width="9" style="1634" customWidth="1"/>
    <col min="13327" max="13568" width="8.7265625" style="1634"/>
    <col min="13569" max="13569" width="57" style="1634" customWidth="1"/>
    <col min="13570" max="13570" width="7.08984375" style="1634" customWidth="1"/>
    <col min="13571" max="13573" width="15.90625" style="1634" customWidth="1"/>
    <col min="13574" max="13574" width="28.453125" style="1634" customWidth="1"/>
    <col min="13575" max="13575" width="9" style="1634" customWidth="1"/>
    <col min="13576" max="13576" width="10.26953125" style="1634" customWidth="1"/>
    <col min="13577" max="13578" width="12.08984375" style="1634" customWidth="1"/>
    <col min="13579" max="13579" width="16.36328125" style="1634" customWidth="1"/>
    <col min="13580" max="13580" width="7.08984375" style="1634" customWidth="1"/>
    <col min="13581" max="13581" width="44.90625" style="1634" customWidth="1"/>
    <col min="13582" max="13582" width="9" style="1634" customWidth="1"/>
    <col min="13583" max="13824" width="8.7265625" style="1634"/>
    <col min="13825" max="13825" width="57" style="1634" customWidth="1"/>
    <col min="13826" max="13826" width="7.08984375" style="1634" customWidth="1"/>
    <col min="13827" max="13829" width="15.90625" style="1634" customWidth="1"/>
    <col min="13830" max="13830" width="28.453125" style="1634" customWidth="1"/>
    <col min="13831" max="13831" width="9" style="1634" customWidth="1"/>
    <col min="13832" max="13832" width="10.26953125" style="1634" customWidth="1"/>
    <col min="13833" max="13834" width="12.08984375" style="1634" customWidth="1"/>
    <col min="13835" max="13835" width="16.36328125" style="1634" customWidth="1"/>
    <col min="13836" max="13836" width="7.08984375" style="1634" customWidth="1"/>
    <col min="13837" max="13837" width="44.90625" style="1634" customWidth="1"/>
    <col min="13838" max="13838" width="9" style="1634" customWidth="1"/>
    <col min="13839" max="14080" width="8.7265625" style="1634"/>
    <col min="14081" max="14081" width="57" style="1634" customWidth="1"/>
    <col min="14082" max="14082" width="7.08984375" style="1634" customWidth="1"/>
    <col min="14083" max="14085" width="15.90625" style="1634" customWidth="1"/>
    <col min="14086" max="14086" width="28.453125" style="1634" customWidth="1"/>
    <col min="14087" max="14087" width="9" style="1634" customWidth="1"/>
    <col min="14088" max="14088" width="10.26953125" style="1634" customWidth="1"/>
    <col min="14089" max="14090" width="12.08984375" style="1634" customWidth="1"/>
    <col min="14091" max="14091" width="16.36328125" style="1634" customWidth="1"/>
    <col min="14092" max="14092" width="7.08984375" style="1634" customWidth="1"/>
    <col min="14093" max="14093" width="44.90625" style="1634" customWidth="1"/>
    <col min="14094" max="14094" width="9" style="1634" customWidth="1"/>
    <col min="14095" max="14336" width="8.7265625" style="1634"/>
    <col min="14337" max="14337" width="57" style="1634" customWidth="1"/>
    <col min="14338" max="14338" width="7.08984375" style="1634" customWidth="1"/>
    <col min="14339" max="14341" width="15.90625" style="1634" customWidth="1"/>
    <col min="14342" max="14342" width="28.453125" style="1634" customWidth="1"/>
    <col min="14343" max="14343" width="9" style="1634" customWidth="1"/>
    <col min="14344" max="14344" width="10.26953125" style="1634" customWidth="1"/>
    <col min="14345" max="14346" width="12.08984375" style="1634" customWidth="1"/>
    <col min="14347" max="14347" width="16.36328125" style="1634" customWidth="1"/>
    <col min="14348" max="14348" width="7.08984375" style="1634" customWidth="1"/>
    <col min="14349" max="14349" width="44.90625" style="1634" customWidth="1"/>
    <col min="14350" max="14350" width="9" style="1634" customWidth="1"/>
    <col min="14351" max="14592" width="8.7265625" style="1634"/>
    <col min="14593" max="14593" width="57" style="1634" customWidth="1"/>
    <col min="14594" max="14594" width="7.08984375" style="1634" customWidth="1"/>
    <col min="14595" max="14597" width="15.90625" style="1634" customWidth="1"/>
    <col min="14598" max="14598" width="28.453125" style="1634" customWidth="1"/>
    <col min="14599" max="14599" width="9" style="1634" customWidth="1"/>
    <col min="14600" max="14600" width="10.26953125" style="1634" customWidth="1"/>
    <col min="14601" max="14602" width="12.08984375" style="1634" customWidth="1"/>
    <col min="14603" max="14603" width="16.36328125" style="1634" customWidth="1"/>
    <col min="14604" max="14604" width="7.08984375" style="1634" customWidth="1"/>
    <col min="14605" max="14605" width="44.90625" style="1634" customWidth="1"/>
    <col min="14606" max="14606" width="9" style="1634" customWidth="1"/>
    <col min="14607" max="14848" width="8.7265625" style="1634"/>
    <col min="14849" max="14849" width="57" style="1634" customWidth="1"/>
    <col min="14850" max="14850" width="7.08984375" style="1634" customWidth="1"/>
    <col min="14851" max="14853" width="15.90625" style="1634" customWidth="1"/>
    <col min="14854" max="14854" width="28.453125" style="1634" customWidth="1"/>
    <col min="14855" max="14855" width="9" style="1634" customWidth="1"/>
    <col min="14856" max="14856" width="10.26953125" style="1634" customWidth="1"/>
    <col min="14857" max="14858" width="12.08984375" style="1634" customWidth="1"/>
    <col min="14859" max="14859" width="16.36328125" style="1634" customWidth="1"/>
    <col min="14860" max="14860" width="7.08984375" style="1634" customWidth="1"/>
    <col min="14861" max="14861" width="44.90625" style="1634" customWidth="1"/>
    <col min="14862" max="14862" width="9" style="1634" customWidth="1"/>
    <col min="14863" max="15104" width="8.7265625" style="1634"/>
    <col min="15105" max="15105" width="57" style="1634" customWidth="1"/>
    <col min="15106" max="15106" width="7.08984375" style="1634" customWidth="1"/>
    <col min="15107" max="15109" width="15.90625" style="1634" customWidth="1"/>
    <col min="15110" max="15110" width="28.453125" style="1634" customWidth="1"/>
    <col min="15111" max="15111" width="9" style="1634" customWidth="1"/>
    <col min="15112" max="15112" width="10.26953125" style="1634" customWidth="1"/>
    <col min="15113" max="15114" width="12.08984375" style="1634" customWidth="1"/>
    <col min="15115" max="15115" width="16.36328125" style="1634" customWidth="1"/>
    <col min="15116" max="15116" width="7.08984375" style="1634" customWidth="1"/>
    <col min="15117" max="15117" width="44.90625" style="1634" customWidth="1"/>
    <col min="15118" max="15118" width="9" style="1634" customWidth="1"/>
    <col min="15119" max="15360" width="8.7265625" style="1634"/>
    <col min="15361" max="15361" width="57" style="1634" customWidth="1"/>
    <col min="15362" max="15362" width="7.08984375" style="1634" customWidth="1"/>
    <col min="15363" max="15365" width="15.90625" style="1634" customWidth="1"/>
    <col min="15366" max="15366" width="28.453125" style="1634" customWidth="1"/>
    <col min="15367" max="15367" width="9" style="1634" customWidth="1"/>
    <col min="15368" max="15368" width="10.26953125" style="1634" customWidth="1"/>
    <col min="15369" max="15370" width="12.08984375" style="1634" customWidth="1"/>
    <col min="15371" max="15371" width="16.36328125" style="1634" customWidth="1"/>
    <col min="15372" max="15372" width="7.08984375" style="1634" customWidth="1"/>
    <col min="15373" max="15373" width="44.90625" style="1634" customWidth="1"/>
    <col min="15374" max="15374" width="9" style="1634" customWidth="1"/>
    <col min="15375" max="15616" width="8.7265625" style="1634"/>
    <col min="15617" max="15617" width="57" style="1634" customWidth="1"/>
    <col min="15618" max="15618" width="7.08984375" style="1634" customWidth="1"/>
    <col min="15619" max="15621" width="15.90625" style="1634" customWidth="1"/>
    <col min="15622" max="15622" width="28.453125" style="1634" customWidth="1"/>
    <col min="15623" max="15623" width="9" style="1634" customWidth="1"/>
    <col min="15624" max="15624" width="10.26953125" style="1634" customWidth="1"/>
    <col min="15625" max="15626" width="12.08984375" style="1634" customWidth="1"/>
    <col min="15627" max="15627" width="16.36328125" style="1634" customWidth="1"/>
    <col min="15628" max="15628" width="7.08984375" style="1634" customWidth="1"/>
    <col min="15629" max="15629" width="44.90625" style="1634" customWidth="1"/>
    <col min="15630" max="15630" width="9" style="1634" customWidth="1"/>
    <col min="15631" max="15872" width="8.7265625" style="1634"/>
    <col min="15873" max="15873" width="57" style="1634" customWidth="1"/>
    <col min="15874" max="15874" width="7.08984375" style="1634" customWidth="1"/>
    <col min="15875" max="15877" width="15.90625" style="1634" customWidth="1"/>
    <col min="15878" max="15878" width="28.453125" style="1634" customWidth="1"/>
    <col min="15879" max="15879" width="9" style="1634" customWidth="1"/>
    <col min="15880" max="15880" width="10.26953125" style="1634" customWidth="1"/>
    <col min="15881" max="15882" width="12.08984375" style="1634" customWidth="1"/>
    <col min="15883" max="15883" width="16.36328125" style="1634" customWidth="1"/>
    <col min="15884" max="15884" width="7.08984375" style="1634" customWidth="1"/>
    <col min="15885" max="15885" width="44.90625" style="1634" customWidth="1"/>
    <col min="15886" max="15886" width="9" style="1634" customWidth="1"/>
    <col min="15887" max="16128" width="8.7265625" style="1634"/>
    <col min="16129" max="16129" width="57" style="1634" customWidth="1"/>
    <col min="16130" max="16130" width="7.08984375" style="1634" customWidth="1"/>
    <col min="16131" max="16133" width="15.90625" style="1634" customWidth="1"/>
    <col min="16134" max="16134" width="28.453125" style="1634" customWidth="1"/>
    <col min="16135" max="16135" width="9" style="1634" customWidth="1"/>
    <col min="16136" max="16136" width="10.26953125" style="1634" customWidth="1"/>
    <col min="16137" max="16138" width="12.08984375" style="1634" customWidth="1"/>
    <col min="16139" max="16139" width="16.36328125" style="1634" customWidth="1"/>
    <col min="16140" max="16140" width="7.08984375" style="1634" customWidth="1"/>
    <col min="16141" max="16141" width="44.90625" style="1634" customWidth="1"/>
    <col min="16142" max="16142" width="9" style="1634" customWidth="1"/>
    <col min="16143" max="16384" width="8.7265625" style="1634"/>
  </cols>
  <sheetData>
    <row r="1" spans="1:14">
      <c r="A1" s="1634" t="s">
        <v>4639</v>
      </c>
      <c r="B1" s="1634" t="s">
        <v>4640</v>
      </c>
      <c r="C1" s="1634" t="s">
        <v>4641</v>
      </c>
      <c r="D1" s="1634" t="s">
        <v>4642</v>
      </c>
      <c r="E1" s="1634" t="s">
        <v>4643</v>
      </c>
      <c r="F1" s="1634" t="s">
        <v>4644</v>
      </c>
      <c r="G1" s="1634" t="s">
        <v>4645</v>
      </c>
      <c r="H1" s="1634" t="s">
        <v>4646</v>
      </c>
      <c r="I1" s="1634" t="s">
        <v>4647</v>
      </c>
      <c r="J1" s="1634" t="s">
        <v>4648</v>
      </c>
      <c r="K1" s="1634" t="s">
        <v>4649</v>
      </c>
      <c r="L1" s="1634" t="s">
        <v>4650</v>
      </c>
      <c r="M1" s="1634" t="s">
        <v>4651</v>
      </c>
      <c r="N1" s="1634" t="s">
        <v>4652</v>
      </c>
    </row>
    <row r="2" spans="1:14" s="2977" customFormat="1">
      <c r="A2" s="2977" t="s">
        <v>4653</v>
      </c>
      <c r="B2" s="2977" t="s">
        <v>4654</v>
      </c>
      <c r="C2" s="2977" t="s">
        <v>4655</v>
      </c>
      <c r="D2" s="2977">
        <v>66444.58</v>
      </c>
      <c r="E2" s="2977">
        <v>166111.45000000001</v>
      </c>
      <c r="F2" s="2977" t="s">
        <v>4656</v>
      </c>
      <c r="G2" s="2977" t="s">
        <v>4657</v>
      </c>
      <c r="H2" s="2977" t="s">
        <v>4658</v>
      </c>
      <c r="I2" s="2977" t="s">
        <v>1326</v>
      </c>
      <c r="J2" s="2977">
        <v>79150</v>
      </c>
      <c r="K2" s="2977">
        <v>4764.8599999999997</v>
      </c>
      <c r="L2" s="2977" t="s">
        <v>1326</v>
      </c>
      <c r="M2" s="2977" t="s">
        <v>4659</v>
      </c>
      <c r="N2" s="2977" t="s">
        <v>4660</v>
      </c>
    </row>
    <row r="3" spans="1:14" s="2977" customFormat="1">
      <c r="A3" s="2977" t="s">
        <v>4661</v>
      </c>
      <c r="B3" s="2977" t="s">
        <v>4654</v>
      </c>
      <c r="C3" s="2977" t="s">
        <v>4655</v>
      </c>
      <c r="D3" s="2977">
        <v>75431.77</v>
      </c>
      <c r="E3" s="2977">
        <v>188579.43</v>
      </c>
      <c r="F3" s="2977" t="s">
        <v>4656</v>
      </c>
      <c r="G3" s="2977" t="s">
        <v>4657</v>
      </c>
      <c r="H3" s="2977" t="s">
        <v>4658</v>
      </c>
      <c r="I3" s="2977" t="s">
        <v>1326</v>
      </c>
      <c r="J3" s="2977">
        <v>87558</v>
      </c>
      <c r="K3" s="2977">
        <v>4643.0200000000004</v>
      </c>
      <c r="L3" s="2977" t="s">
        <v>1326</v>
      </c>
      <c r="M3" s="2977" t="s">
        <v>4662</v>
      </c>
      <c r="N3" s="2977" t="s">
        <v>4663</v>
      </c>
    </row>
    <row r="4" spans="1:14" s="2978" customFormat="1">
      <c r="A4" s="2978" t="s">
        <v>4664</v>
      </c>
      <c r="B4" s="2978" t="s">
        <v>4654</v>
      </c>
      <c r="C4" s="2978" t="s">
        <v>4655</v>
      </c>
      <c r="D4" s="2978">
        <v>965.69</v>
      </c>
      <c r="E4" s="2978">
        <v>3379.92</v>
      </c>
      <c r="F4" s="2978" t="s">
        <v>4665</v>
      </c>
      <c r="G4" s="2978" t="s">
        <v>4657</v>
      </c>
      <c r="H4" s="2978" t="s">
        <v>4666</v>
      </c>
      <c r="I4" s="2978" t="s">
        <v>1326</v>
      </c>
      <c r="J4" s="2978">
        <v>1266</v>
      </c>
      <c r="K4" s="2978">
        <v>3745.65</v>
      </c>
      <c r="L4" s="2978" t="s">
        <v>1326</v>
      </c>
      <c r="M4" s="2978" t="s">
        <v>4667</v>
      </c>
      <c r="N4" s="2978" t="s">
        <v>4663</v>
      </c>
    </row>
    <row r="5" spans="1:14" s="2978" customFormat="1">
      <c r="A5" s="2978" t="s">
        <v>4668</v>
      </c>
      <c r="B5" s="2978" t="s">
        <v>4654</v>
      </c>
      <c r="C5" s="2978" t="s">
        <v>4655</v>
      </c>
      <c r="D5" s="2978">
        <v>126.06</v>
      </c>
      <c r="E5" s="2978">
        <v>252.12</v>
      </c>
      <c r="F5" s="2978" t="s">
        <v>4669</v>
      </c>
      <c r="G5" s="2978" t="s">
        <v>4657</v>
      </c>
      <c r="H5" s="2978" t="s">
        <v>4670</v>
      </c>
      <c r="I5" s="2978" t="s">
        <v>1326</v>
      </c>
      <c r="J5" s="2978">
        <v>108</v>
      </c>
      <c r="K5" s="2978">
        <v>4283.67</v>
      </c>
      <c r="L5" s="2978" t="s">
        <v>1326</v>
      </c>
      <c r="M5" s="2978" t="s">
        <v>4671</v>
      </c>
      <c r="N5" s="2978" t="s">
        <v>4663</v>
      </c>
    </row>
    <row r="6" spans="1:14" s="2978" customFormat="1">
      <c r="A6" s="2978" t="s">
        <v>4672</v>
      </c>
      <c r="B6" s="2978" t="s">
        <v>4654</v>
      </c>
      <c r="C6" s="2978" t="s">
        <v>4673</v>
      </c>
      <c r="D6" s="2978">
        <v>484.26</v>
      </c>
      <c r="E6" s="2978">
        <v>1325.9</v>
      </c>
      <c r="F6" s="2978" t="s">
        <v>4674</v>
      </c>
      <c r="G6" s="2978" t="s">
        <v>4657</v>
      </c>
      <c r="H6" s="2978" t="s">
        <v>4675</v>
      </c>
      <c r="I6" s="2978" t="s">
        <v>1326</v>
      </c>
      <c r="J6" s="2978">
        <v>770</v>
      </c>
      <c r="K6" s="2978">
        <v>5807.38</v>
      </c>
      <c r="L6" s="2978" t="s">
        <v>1326</v>
      </c>
      <c r="M6" s="2978" t="s">
        <v>4676</v>
      </c>
      <c r="N6" s="2978" t="s">
        <v>4660</v>
      </c>
    </row>
    <row r="7" spans="1:14" s="2977" customFormat="1">
      <c r="A7" s="2977" t="s">
        <v>4677</v>
      </c>
      <c r="B7" s="2977" t="s">
        <v>4654</v>
      </c>
      <c r="C7" s="2977" t="s">
        <v>4655</v>
      </c>
      <c r="D7" s="2977">
        <v>19550.96</v>
      </c>
      <c r="E7" s="2977">
        <v>39101.919999999998</v>
      </c>
      <c r="F7" s="2977" t="s">
        <v>4678</v>
      </c>
      <c r="G7" s="2977" t="s">
        <v>4657</v>
      </c>
      <c r="H7" s="2977" t="s">
        <v>4675</v>
      </c>
      <c r="I7" s="2977" t="s">
        <v>1326</v>
      </c>
      <c r="J7" s="2977">
        <v>14975</v>
      </c>
      <c r="K7" s="2977">
        <v>3829.73</v>
      </c>
      <c r="L7" s="2977" t="s">
        <v>1326</v>
      </c>
      <c r="M7" s="2977" t="s">
        <v>4679</v>
      </c>
      <c r="N7" s="2977" t="s">
        <v>4680</v>
      </c>
    </row>
    <row r="8" spans="1:14">
      <c r="A8" s="1634" t="s">
        <v>4681</v>
      </c>
      <c r="B8" s="1634" t="s">
        <v>4654</v>
      </c>
      <c r="C8" s="1634" t="s">
        <v>4655</v>
      </c>
      <c r="D8" s="1634">
        <v>6586.77</v>
      </c>
      <c r="E8" s="1634">
        <v>16466.93</v>
      </c>
      <c r="F8" s="1634" t="s">
        <v>4682</v>
      </c>
      <c r="G8" s="1634" t="s">
        <v>4657</v>
      </c>
      <c r="H8" s="1634" t="s">
        <v>4683</v>
      </c>
      <c r="I8" s="1634">
        <v>360</v>
      </c>
      <c r="J8" s="1634">
        <v>386</v>
      </c>
      <c r="K8" s="1634">
        <v>234.4</v>
      </c>
      <c r="L8" s="1634">
        <v>7.22</v>
      </c>
      <c r="M8" s="1634" t="s">
        <v>4684</v>
      </c>
      <c r="N8" s="1634" t="s">
        <v>4660</v>
      </c>
    </row>
    <row r="9" spans="1:14">
      <c r="A9" s="1634" t="s">
        <v>4685</v>
      </c>
      <c r="B9" s="1634" t="s">
        <v>4654</v>
      </c>
      <c r="C9" s="1634" t="s">
        <v>4655</v>
      </c>
      <c r="D9" s="1634">
        <v>90294.7</v>
      </c>
      <c r="E9" s="1634">
        <v>180589.4</v>
      </c>
      <c r="F9" s="1634" t="s">
        <v>4686</v>
      </c>
      <c r="G9" s="1634" t="s">
        <v>4657</v>
      </c>
      <c r="H9" s="1634" t="s">
        <v>4687</v>
      </c>
      <c r="I9" s="1634" t="s">
        <v>1326</v>
      </c>
      <c r="J9" s="1634">
        <v>62317</v>
      </c>
      <c r="K9" s="1634">
        <v>3450.76</v>
      </c>
      <c r="L9" s="1634" t="s">
        <v>1326</v>
      </c>
      <c r="M9" s="1634" t="s">
        <v>4688</v>
      </c>
      <c r="N9" s="1634" t="s">
        <v>4660</v>
      </c>
    </row>
    <row r="10" spans="1:14">
      <c r="A10" s="1634" t="s">
        <v>4689</v>
      </c>
      <c r="B10" s="1634" t="s">
        <v>4654</v>
      </c>
      <c r="C10" s="1634" t="s">
        <v>4655</v>
      </c>
      <c r="D10" s="1634">
        <v>78424.88</v>
      </c>
      <c r="E10" s="1634">
        <v>196062.2</v>
      </c>
      <c r="F10" s="1634" t="s">
        <v>4656</v>
      </c>
      <c r="G10" s="1634" t="s">
        <v>4657</v>
      </c>
      <c r="H10" s="1634" t="s">
        <v>4690</v>
      </c>
      <c r="I10" s="1634" t="s">
        <v>1326</v>
      </c>
      <c r="J10" s="1634">
        <v>36868</v>
      </c>
      <c r="K10" s="1634">
        <v>1880.42</v>
      </c>
      <c r="L10" s="1634" t="s">
        <v>1326</v>
      </c>
      <c r="M10" s="1634" t="s">
        <v>4691</v>
      </c>
      <c r="N10" s="1634" t="s">
        <v>4660</v>
      </c>
    </row>
    <row r="11" spans="1:14">
      <c r="A11" s="1634" t="s">
        <v>4692</v>
      </c>
      <c r="B11" s="1634" t="s">
        <v>4654</v>
      </c>
      <c r="C11" s="1634" t="s">
        <v>4655</v>
      </c>
      <c r="D11" s="1634">
        <v>142187.70000000001</v>
      </c>
      <c r="E11" s="1634">
        <v>284375.5</v>
      </c>
      <c r="F11" s="1634" t="s">
        <v>4686</v>
      </c>
      <c r="G11" s="1634" t="s">
        <v>4657</v>
      </c>
      <c r="H11" s="1634" t="s">
        <v>4693</v>
      </c>
      <c r="I11" s="1634" t="s">
        <v>1326</v>
      </c>
      <c r="J11" s="1634">
        <v>231055.1</v>
      </c>
      <c r="K11" s="1634">
        <v>8125</v>
      </c>
      <c r="L11" s="1634" t="s">
        <v>1326</v>
      </c>
      <c r="M11" s="1634" t="s">
        <v>4694</v>
      </c>
      <c r="N11" s="1634" t="s">
        <v>4660</v>
      </c>
    </row>
    <row r="12" spans="1:14">
      <c r="A12" s="1634" t="s">
        <v>4695</v>
      </c>
      <c r="B12" s="1634" t="s">
        <v>4654</v>
      </c>
      <c r="C12" s="1634" t="s">
        <v>4655</v>
      </c>
      <c r="D12" s="1634">
        <v>31922.79</v>
      </c>
      <c r="E12" s="1634">
        <v>79806.98</v>
      </c>
      <c r="F12" s="1634" t="s">
        <v>4656</v>
      </c>
      <c r="G12" s="1634" t="s">
        <v>4657</v>
      </c>
      <c r="H12" s="1634" t="s">
        <v>4696</v>
      </c>
      <c r="I12" s="1634" t="s">
        <v>1326</v>
      </c>
      <c r="J12" s="1634">
        <v>22156</v>
      </c>
      <c r="K12" s="1634">
        <v>2776.19</v>
      </c>
      <c r="L12" s="1634" t="s">
        <v>1326</v>
      </c>
      <c r="M12" s="1634" t="s">
        <v>4697</v>
      </c>
      <c r="N12" s="1634" t="s">
        <v>4660</v>
      </c>
    </row>
    <row r="13" spans="1:14">
      <c r="A13" s="1634" t="s">
        <v>4698</v>
      </c>
      <c r="B13" s="1634" t="s">
        <v>4654</v>
      </c>
      <c r="C13" s="1634" t="s">
        <v>4655</v>
      </c>
      <c r="D13" s="1634">
        <v>8317.82</v>
      </c>
      <c r="E13" s="1634">
        <v>8401</v>
      </c>
      <c r="F13" s="1634" t="s">
        <v>4699</v>
      </c>
      <c r="G13" s="1634" t="s">
        <v>4657</v>
      </c>
      <c r="H13" s="1634" t="s">
        <v>4700</v>
      </c>
      <c r="I13" s="1634" t="s">
        <v>1326</v>
      </c>
      <c r="J13" s="1634">
        <v>3604.94</v>
      </c>
      <c r="K13" s="1634">
        <v>4291.07</v>
      </c>
      <c r="L13" s="1634" t="s">
        <v>1326</v>
      </c>
      <c r="M13" s="1634" t="s">
        <v>4701</v>
      </c>
      <c r="N13" s="1634" t="s">
        <v>4663</v>
      </c>
    </row>
    <row r="14" spans="1:14">
      <c r="A14" s="1634" t="s">
        <v>4702</v>
      </c>
      <c r="B14" s="1634" t="s">
        <v>4654</v>
      </c>
      <c r="C14" s="1634" t="s">
        <v>4655</v>
      </c>
      <c r="D14" s="1634">
        <v>2034.7</v>
      </c>
      <c r="E14" s="1634">
        <v>3662.46</v>
      </c>
      <c r="F14" s="1634" t="s">
        <v>4703</v>
      </c>
      <c r="G14" s="1634" t="s">
        <v>4657</v>
      </c>
      <c r="H14" s="1634" t="s">
        <v>4700</v>
      </c>
      <c r="I14" s="1634" t="s">
        <v>1326</v>
      </c>
      <c r="J14" s="1634">
        <v>1468.03</v>
      </c>
      <c r="K14" s="1634">
        <v>4008.34</v>
      </c>
      <c r="L14" s="1634" t="s">
        <v>1326</v>
      </c>
      <c r="M14" s="1634" t="s">
        <v>4701</v>
      </c>
      <c r="N14" s="1634" t="s">
        <v>4663</v>
      </c>
    </row>
    <row r="15" spans="1:14">
      <c r="A15" s="1634" t="s">
        <v>4704</v>
      </c>
      <c r="B15" s="1634" t="s">
        <v>4654</v>
      </c>
      <c r="C15" s="1634" t="s">
        <v>4655</v>
      </c>
      <c r="D15" s="1634">
        <v>131185.29999999999</v>
      </c>
      <c r="E15" s="1634">
        <v>262370.7</v>
      </c>
      <c r="F15" s="1634" t="s">
        <v>4705</v>
      </c>
      <c r="G15" s="1634" t="s">
        <v>4706</v>
      </c>
      <c r="H15" s="1634" t="s">
        <v>4707</v>
      </c>
      <c r="I15" s="1634" t="s">
        <v>1326</v>
      </c>
      <c r="J15" s="1634">
        <v>71500</v>
      </c>
      <c r="K15" s="1634">
        <v>2725.15</v>
      </c>
      <c r="L15" s="1634" t="s">
        <v>1326</v>
      </c>
      <c r="M15" s="1634" t="s">
        <v>4708</v>
      </c>
      <c r="N15" s="1634" t="s">
        <v>4660</v>
      </c>
    </row>
    <row r="16" spans="1:14">
      <c r="A16" s="1634" t="s">
        <v>4709</v>
      </c>
      <c r="B16" s="1634" t="s">
        <v>4654</v>
      </c>
      <c r="C16" s="1634" t="s">
        <v>4655</v>
      </c>
      <c r="D16" s="1634">
        <v>77282</v>
      </c>
      <c r="E16" s="1634">
        <v>231846</v>
      </c>
      <c r="F16" s="1634" t="s">
        <v>4710</v>
      </c>
      <c r="G16" s="1634" t="s">
        <v>4657</v>
      </c>
      <c r="H16" s="1634" t="s">
        <v>4711</v>
      </c>
      <c r="I16" s="1634" t="s">
        <v>1326</v>
      </c>
      <c r="J16" s="1634">
        <v>31588</v>
      </c>
      <c r="K16" s="1634">
        <v>1362.46</v>
      </c>
      <c r="L16" s="1634" t="s">
        <v>1326</v>
      </c>
      <c r="M16" s="1634" t="s">
        <v>4712</v>
      </c>
      <c r="N16" s="1634" t="s">
        <v>4663</v>
      </c>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workbookViewId="0">
      <selection activeCell="L20" sqref="L20"/>
    </sheetView>
  </sheetViews>
  <sheetFormatPr defaultColWidth="6.6328125" defaultRowHeight="12.5"/>
  <cols>
    <col min="1" max="1" width="9.81640625" style="798" customWidth="1"/>
    <col min="2" max="2" width="25.81640625" style="952" customWidth="1"/>
    <col min="3" max="3" width="10.36328125" style="995" customWidth="1"/>
    <col min="4" max="4" width="9.90625" style="952" customWidth="1"/>
    <col min="5" max="5" width="9.453125" style="798" customWidth="1"/>
    <col min="6" max="6" width="10.08984375" style="952" customWidth="1"/>
    <col min="7" max="7" width="10.81640625" style="952" customWidth="1"/>
    <col min="8" max="8" width="10" style="952" customWidth="1"/>
    <col min="9" max="11" width="9.453125" style="952" customWidth="1"/>
    <col min="12" max="12" width="9" style="952" customWidth="1"/>
    <col min="13" max="13" width="10.453125" style="952" bestFit="1" customWidth="1"/>
    <col min="14" max="254" width="9" style="952" customWidth="1"/>
    <col min="255" max="16384" width="6.6328125" style="952"/>
  </cols>
  <sheetData>
    <row r="1" spans="1:33" ht="21">
      <c r="A1" s="240" t="s">
        <v>2456</v>
      </c>
      <c r="B1" s="1580"/>
      <c r="C1" s="1581"/>
      <c r="D1" s="1579"/>
      <c r="E1" s="320"/>
      <c r="F1" s="320"/>
      <c r="G1" s="1580"/>
      <c r="H1" s="320"/>
      <c r="I1" s="320"/>
      <c r="J1" s="320"/>
      <c r="K1" s="320">
        <f>MATCH(C1,'数据-取费表'!A6:A16,0)+5</f>
        <v>10</v>
      </c>
    </row>
    <row r="2" spans="1:33" ht="18" customHeight="1">
      <c r="A2" s="245" t="s">
        <v>2324</v>
      </c>
      <c r="B2" s="248">
        <f ca="1">C32</f>
        <v>223535</v>
      </c>
      <c r="C2" s="320" t="s">
        <v>2457</v>
      </c>
      <c r="D2" s="320"/>
      <c r="E2" s="320"/>
      <c r="F2" s="320"/>
      <c r="G2" s="320"/>
      <c r="H2" s="320"/>
      <c r="I2" s="320"/>
      <c r="J2" s="320"/>
      <c r="K2" s="320"/>
    </row>
    <row r="3" spans="1:33" ht="18" customHeight="1" thickBot="1">
      <c r="A3" s="247" t="s">
        <v>2326</v>
      </c>
      <c r="B3" s="248">
        <f ca="1">ROUND(B2*10000/IF(C1="",'数据-汇总表'!E3,INDIRECT("'数据-取费表'!K"&amp;$K$1)),0)</f>
        <v>17540</v>
      </c>
      <c r="C3" s="320" t="s">
        <v>2458</v>
      </c>
      <c r="D3" s="320"/>
      <c r="E3" s="320"/>
      <c r="F3" s="320"/>
      <c r="G3" s="320"/>
      <c r="H3" s="320"/>
      <c r="I3" s="320"/>
      <c r="J3" s="320"/>
      <c r="K3" s="320"/>
    </row>
    <row r="4" spans="1:33" s="956" customFormat="1" ht="16.5" customHeight="1">
      <c r="A4" s="953" t="s">
        <v>2459</v>
      </c>
      <c r="B4" s="954"/>
      <c r="C4" s="996">
        <f ca="1">SUM(C8:K8)</f>
        <v>296397.49400000006</v>
      </c>
      <c r="D4" s="954"/>
      <c r="E4" s="954"/>
      <c r="F4" s="954"/>
      <c r="G4" s="954"/>
      <c r="H4" s="954"/>
      <c r="I4" s="954"/>
      <c r="J4" s="954"/>
      <c r="K4" s="955"/>
    </row>
    <row r="5" spans="1:33" s="960" customFormat="1" ht="14">
      <c r="A5" s="957" t="s">
        <v>2460</v>
      </c>
      <c r="B5" s="958" t="s">
        <v>2461</v>
      </c>
      <c r="C5" s="2554" t="s">
        <v>3073</v>
      </c>
      <c r="D5" s="2554" t="s">
        <v>1372</v>
      </c>
      <c r="E5" s="2554" t="s">
        <v>4608</v>
      </c>
      <c r="F5" s="2554" t="s">
        <v>27</v>
      </c>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2462</v>
      </c>
      <c r="C6" s="962">
        <v>26000</v>
      </c>
      <c r="D6" s="962">
        <f ca="1">'收益法 (商业)'!B3</f>
        <v>10334</v>
      </c>
      <c r="E6" s="962">
        <v>27000</v>
      </c>
      <c r="F6" s="962">
        <f ca="1">收益法!B3</f>
        <v>15301</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2463</v>
      </c>
      <c r="B7" s="140" t="s">
        <v>2464</v>
      </c>
      <c r="C7" s="321">
        <f>SUMIF('数据-汇总表'!$C19:$C33,假设开发法!C5,'数据-汇总表'!$E19:$E33)</f>
        <v>73964.140000000058</v>
      </c>
      <c r="D7" s="321">
        <f>SUMIF('数据-汇总表'!$C19:$C33,假设开发法!D5,'数据-汇总表'!$E19:$E33)</f>
        <v>7997.1</v>
      </c>
      <c r="E7" s="321">
        <f>SUMIF('数据-汇总表'!$C19:$C33,假设开发法!E5,'数据-汇总表'!$E19:$E33)</f>
        <v>22429.899999999965</v>
      </c>
      <c r="F7" s="321">
        <f>SUMIF('数据-汇总表'!$C19:$C33,假设开发法!F5,'数据-汇总表'!$E19:$E33)</f>
        <v>23048.45</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2465</v>
      </c>
      <c r="B8" s="177" t="s">
        <v>2466</v>
      </c>
      <c r="C8" s="997">
        <f>C6*C7/10000</f>
        <v>192306.76400000014</v>
      </c>
      <c r="D8" s="997">
        <f ca="1">'收益法 (商业)'!B2</f>
        <v>8264</v>
      </c>
      <c r="E8" s="997">
        <f t="shared" ref="E8" si="0">E6*E7/10000</f>
        <v>60560.729999999901</v>
      </c>
      <c r="F8" s="997">
        <f ca="1">收益法!B2</f>
        <v>35266</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2467</v>
      </c>
      <c r="B9" s="954"/>
      <c r="C9" s="954"/>
      <c r="D9" s="954"/>
      <c r="E9" s="954"/>
      <c r="F9" s="954"/>
      <c r="G9" s="954"/>
      <c r="H9" s="954"/>
      <c r="I9" s="954"/>
      <c r="J9" s="954"/>
      <c r="K9" s="955"/>
    </row>
    <row r="10" spans="1:33" s="970" customFormat="1" ht="13.5" customHeight="1">
      <c r="A10" s="957" t="s">
        <v>2468</v>
      </c>
      <c r="B10" s="8" t="s">
        <v>2469</v>
      </c>
      <c r="C10" s="966" t="s">
        <v>2470</v>
      </c>
      <c r="D10" s="967" t="s">
        <v>2471</v>
      </c>
      <c r="E10" s="967" t="s">
        <v>2472</v>
      </c>
      <c r="F10" s="967" t="s">
        <v>2473</v>
      </c>
      <c r="G10" s="8"/>
      <c r="H10" s="968"/>
      <c r="I10" s="968"/>
      <c r="J10" s="968"/>
      <c r="K10" s="969"/>
    </row>
    <row r="11" spans="1:33" s="975" customFormat="1" ht="13.5" customHeight="1">
      <c r="A11" s="971" t="s">
        <v>1329</v>
      </c>
      <c r="B11" s="972" t="s">
        <v>2474</v>
      </c>
      <c r="C11" s="323">
        <f ca="1">IF(C1="",'数据-取费表'!P16,INDIRECT("'数据-取费表'!p"&amp;$K$1)+INDIRECT("'数据-取费表'!ar"&amp;$K$1))</f>
        <v>17298</v>
      </c>
      <c r="D11" s="973"/>
      <c r="E11" s="375"/>
      <c r="F11" s="974">
        <f ca="1">1-IF('数据-取费表'!B24=0,1,IF(C1="",'数据-取费表'!N16,INDIRECT("'数据-取费表'!n"&amp;$K$1)))</f>
        <v>0.35</v>
      </c>
      <c r="G11" s="8"/>
      <c r="H11" s="968"/>
      <c r="I11" s="968"/>
      <c r="J11" s="968"/>
      <c r="K11" s="969"/>
    </row>
    <row r="12" spans="1:33" s="975" customFormat="1" ht="13.5" customHeight="1">
      <c r="A12" s="971" t="s">
        <v>1330</v>
      </c>
      <c r="B12" s="972" t="s">
        <v>2475</v>
      </c>
      <c r="C12" s="24">
        <f ca="1">ROUND(C11*F12,0)</f>
        <v>692</v>
      </c>
      <c r="D12" s="973"/>
      <c r="E12" s="375"/>
      <c r="F12" s="976">
        <f>'数据-取费表'!B33</f>
        <v>0.04</v>
      </c>
      <c r="G12" s="8" t="s">
        <v>2476</v>
      </c>
      <c r="H12" s="968"/>
      <c r="I12" s="968"/>
      <c r="J12" s="968"/>
      <c r="K12" s="969"/>
    </row>
    <row r="13" spans="1:33" s="975" customFormat="1" ht="13.5" customHeight="1">
      <c r="A13" s="971" t="s">
        <v>1331</v>
      </c>
      <c r="B13" s="972" t="s">
        <v>2477</v>
      </c>
      <c r="C13" s="24">
        <f ca="1">ROUND(IF(C1="",SUMIF('数据-取费表'!C:C,"住宅",'数据-取费表'!P:P)*F13,IF(INDIRECT("'数据-取费表'!c"&amp;$K$1)="住宅",INDIRECT("'数据-取费表'!P"&amp;$K$1)*F13,0)),0)</f>
        <v>518</v>
      </c>
      <c r="D13" s="1033"/>
      <c r="E13" s="375"/>
      <c r="F13" s="976">
        <f>'数据-取费表'!B34</f>
        <v>0.05</v>
      </c>
      <c r="G13" s="8" t="s">
        <v>2478</v>
      </c>
      <c r="H13" s="968"/>
      <c r="I13" s="968"/>
      <c r="J13" s="968"/>
      <c r="K13" s="969"/>
    </row>
    <row r="14" spans="1:33" s="977" customFormat="1" ht="13.5" customHeight="1">
      <c r="A14" s="971" t="s">
        <v>1332</v>
      </c>
      <c r="B14" s="972" t="s">
        <v>2479</v>
      </c>
      <c r="C14" s="24">
        <f ca="1">ROUND(D14*E14*F11/10000,0)</f>
        <v>892</v>
      </c>
      <c r="D14" s="1033">
        <f ca="1">IF(C1="",'数据-汇总表'!E3,INDIRECT("'数据-取费表'!K"&amp;$K$1)+INDIRECT("'数据-取费表'!S"&amp;$K$1))</f>
        <v>127439.59000000001</v>
      </c>
      <c r="E14" s="24">
        <f>'数据-取费表'!B35</f>
        <v>200</v>
      </c>
      <c r="F14" s="976"/>
      <c r="G14" s="8" t="s">
        <v>2480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2481</v>
      </c>
      <c r="C15" s="983">
        <f ca="1">ROUND(C11*F15,0)</f>
        <v>259</v>
      </c>
      <c r="D15" s="978"/>
      <c r="E15" s="983"/>
      <c r="F15" s="984">
        <f>'数据-取费表'!B36</f>
        <v>1.4999999999999999E-2</v>
      </c>
      <c r="G15" s="140" t="s">
        <v>2482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2483</v>
      </c>
      <c r="C16" s="983">
        <f ca="1">SUM(C11:C15)</f>
        <v>19659</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2484</v>
      </c>
      <c r="C17" s="24">
        <f ca="1">ROUND(D17*E17/10000,0)</f>
        <v>0</v>
      </c>
      <c r="D17" s="1033">
        <f ca="1">D14</f>
        <v>127439.59000000001</v>
      </c>
      <c r="E17" s="24">
        <f>'数据-取费表'!B32</f>
        <v>0</v>
      </c>
      <c r="F17" s="978"/>
      <c r="G17" s="140" t="s">
        <v>2485</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2486</v>
      </c>
      <c r="C18" s="24">
        <f ca="1">C19+C20-IF(C1="",'数据-取费表'!B29,IF(G18="已全部缴纳",C19+C20,H18))</f>
        <v>0</v>
      </c>
      <c r="D18" s="1033"/>
      <c r="E18" s="24"/>
      <c r="F18" s="976"/>
      <c r="G18" s="2556"/>
      <c r="H18" s="1576"/>
      <c r="I18" s="2557" t="s">
        <v>2487</v>
      </c>
      <c r="J18" s="979"/>
      <c r="K18" s="980"/>
    </row>
    <row r="19" spans="1:33" s="975" customFormat="1" ht="13.5" customHeight="1">
      <c r="A19" s="971" t="s">
        <v>805</v>
      </c>
      <c r="B19" s="972" t="s">
        <v>2488</v>
      </c>
      <c r="C19" s="24">
        <f ca="1">ROUND(D19*E19/10000,0)</f>
        <v>1627</v>
      </c>
      <c r="D19" s="1033">
        <f ca="1">IF(C1="",'数据-汇总表'!E5,IF(INDIRECT("'数据-取费表'!c"&amp;$K$1)="住宅",INDIRECT("'数据-取费表'!k"&amp;$K$1),0))</f>
        <v>73964.140000000043</v>
      </c>
      <c r="E19" s="24">
        <f>'数据-取费表'!B27</f>
        <v>220</v>
      </c>
      <c r="F19" s="976"/>
      <c r="G19" s="15"/>
      <c r="H19" s="1578"/>
      <c r="I19" s="981"/>
      <c r="J19" s="981"/>
      <c r="K19" s="982"/>
    </row>
    <row r="20" spans="1:33" s="975" customFormat="1" ht="13.5" customHeight="1">
      <c r="A20" s="971" t="s">
        <v>806</v>
      </c>
      <c r="B20" s="972" t="s">
        <v>2489</v>
      </c>
      <c r="C20" s="24">
        <f ca="1">ROUND(D20*E20/10000,0)</f>
        <v>1176</v>
      </c>
      <c r="D20" s="1033">
        <f ca="1">IF(C1="",'数据-汇总表'!E6,IF(INDIRECT("'数据-取费表'!c"&amp;$K$1)="住宅",INDIRECT("'数据-取费表'!s"&amp;$K$1),INDIRECT("'数据-取费表'!k"&amp;$K$1)+INDIRECT("'数据-取费表'!s"&amp;$K$1)))</f>
        <v>53475.449999999968</v>
      </c>
      <c r="E20" s="24">
        <f>'数据-取费表'!B28</f>
        <v>220</v>
      </c>
      <c r="F20" s="976"/>
      <c r="G20" s="15"/>
      <c r="H20" s="981"/>
      <c r="I20" s="981"/>
      <c r="J20" s="981"/>
      <c r="K20" s="982"/>
    </row>
    <row r="21" spans="1:33" s="975" customFormat="1" ht="13.5" customHeight="1">
      <c r="A21" s="961" t="s">
        <v>802</v>
      </c>
      <c r="B21" s="985" t="s">
        <v>2490</v>
      </c>
      <c r="C21" s="986">
        <f ca="1">C16+C17+C18</f>
        <v>19659</v>
      </c>
      <c r="D21" s="987"/>
      <c r="E21" s="325"/>
      <c r="F21" s="325"/>
      <c r="G21" s="140" t="s">
        <v>2491</v>
      </c>
      <c r="H21" s="979"/>
      <c r="I21" s="979"/>
      <c r="J21" s="979"/>
      <c r="K21" s="980"/>
    </row>
    <row r="22" spans="1:33" s="975" customFormat="1" ht="13.5" customHeight="1">
      <c r="A22" s="961" t="s">
        <v>2463</v>
      </c>
      <c r="B22" s="985" t="s">
        <v>2492</v>
      </c>
      <c r="C22" s="986">
        <f ca="1">ROUND(C21*F22,0)</f>
        <v>393</v>
      </c>
      <c r="D22" s="325"/>
      <c r="E22" s="325"/>
      <c r="F22" s="988">
        <f>'数据-取费表'!B37</f>
        <v>0.02</v>
      </c>
      <c r="G22" s="8" t="s">
        <v>2493</v>
      </c>
      <c r="H22" s="968"/>
      <c r="I22" s="968"/>
      <c r="J22" s="968"/>
      <c r="K22" s="969"/>
    </row>
    <row r="23" spans="1:33" s="975" customFormat="1" ht="13.5" customHeight="1">
      <c r="A23" s="961" t="s">
        <v>2465</v>
      </c>
      <c r="B23" s="985" t="s">
        <v>2494</v>
      </c>
      <c r="C23" s="986">
        <f ca="1">ROUND(C4*F23*F11,0)</f>
        <v>2075</v>
      </c>
      <c r="D23" s="325"/>
      <c r="E23" s="325"/>
      <c r="F23" s="988">
        <f>'数据-取费表'!B38</f>
        <v>0.02</v>
      </c>
      <c r="G23" s="8" t="s">
        <v>2495</v>
      </c>
      <c r="H23" s="968"/>
      <c r="I23" s="968"/>
      <c r="J23" s="968"/>
      <c r="K23" s="969"/>
    </row>
    <row r="24" spans="1:33" s="975" customFormat="1" ht="13.5" customHeight="1">
      <c r="A24" s="961" t="s">
        <v>2496</v>
      </c>
      <c r="B24" s="985" t="s">
        <v>2497</v>
      </c>
      <c r="C24" s="324">
        <f>ROUND(F24/(1+'数据-取费表'!C42),4)</f>
        <v>2.9000000000000001E-2</v>
      </c>
      <c r="D24" s="325" t="s">
        <v>15</v>
      </c>
      <c r="E24" s="325"/>
      <c r="F24" s="988">
        <f>IF(项目基本情况!B8="出让",0,'数据-取费表'!B48+'数据-取费表'!B49)</f>
        <v>3.0499999999999999E-2</v>
      </c>
      <c r="G24" s="8" t="s">
        <v>2498</v>
      </c>
      <c r="H24" s="990"/>
      <c r="I24" s="990"/>
      <c r="J24" s="990"/>
      <c r="K24" s="991"/>
    </row>
    <row r="25" spans="1:33" s="975" customFormat="1" ht="13.5" customHeight="1">
      <c r="A25" s="961" t="s">
        <v>2499</v>
      </c>
      <c r="B25" s="987" t="s">
        <v>2500</v>
      </c>
      <c r="C25" s="1356">
        <f ca="1">C27</f>
        <v>454</v>
      </c>
      <c r="D25" s="324">
        <f ca="1">C26</f>
        <v>4.2599999999999999E-2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2501</v>
      </c>
      <c r="C26" s="1357">
        <f ca="1">ROUND(IF('数据-取费表'!B22&lt;=1,(1+C24)*F25*'数据-取费表'!B24,(1+C24)*(POWER((1+F25),'数据-取费表'!B24)-1)),4)</f>
        <v>4.2599999999999999E-2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2502</v>
      </c>
      <c r="C27" s="1358">
        <f ca="1">ROUND(IF('数据-取费表'!B22&lt;=1,(C21+C22+C23)*F25*'数据-取费表'!B24/2,(C21+C22+C23)*(POWER((1+F25),'数据-取费表'!B24/2)-1)),0)</f>
        <v>454</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2503</v>
      </c>
      <c r="B28" s="2559" t="s">
        <v>2504</v>
      </c>
      <c r="C28" s="331">
        <f ca="1">C30</f>
        <v>3983</v>
      </c>
      <c r="D28" s="324">
        <f ca="1">C29</f>
        <v>6.4799999999999996E-2</v>
      </c>
      <c r="E28" s="326" t="s">
        <v>15</v>
      </c>
      <c r="F28" s="332">
        <f ca="1">IF(C1="",'数据-取费表'!Q16,INDIRECT("'数据-取费表'!q"&amp;$K$1))</f>
        <v>0.18</v>
      </c>
      <c r="G28" s="989"/>
      <c r="H28" s="990"/>
      <c r="I28" s="990"/>
      <c r="J28" s="990"/>
      <c r="K28" s="991"/>
    </row>
    <row r="29" spans="1:33" s="335" customFormat="1" ht="13.5" customHeight="1">
      <c r="A29" s="971" t="s">
        <v>803</v>
      </c>
      <c r="B29" s="994" t="s">
        <v>2505</v>
      </c>
      <c r="C29" s="328">
        <f ca="1">ROUND((1+C24)*F28*'数据-取费表'!B24/'数据-取费表'!B20,4)</f>
        <v>6.4799999999999996E-2</v>
      </c>
      <c r="D29" s="328"/>
      <c r="E29" s="329"/>
      <c r="F29" s="334"/>
      <c r="G29" s="140" t="s">
        <v>2506</v>
      </c>
      <c r="H29" s="979"/>
      <c r="I29" s="979"/>
      <c r="J29" s="979"/>
      <c r="K29" s="980"/>
    </row>
    <row r="30" spans="1:33" s="335" customFormat="1" ht="13.5" customHeight="1">
      <c r="A30" s="971" t="s">
        <v>804</v>
      </c>
      <c r="B30" s="994" t="s">
        <v>2507</v>
      </c>
      <c r="C30" s="336">
        <f ca="1">ROUND((C21+C22+C23)*F28,0)</f>
        <v>3983</v>
      </c>
      <c r="D30" s="328"/>
      <c r="E30" s="329"/>
      <c r="F30" s="334"/>
      <c r="G30" s="140"/>
      <c r="H30" s="979"/>
      <c r="I30" s="979"/>
      <c r="J30" s="979"/>
      <c r="K30" s="980"/>
    </row>
    <row r="31" spans="1:33" s="975" customFormat="1" ht="13.5" customHeight="1" thickBot="1">
      <c r="A31" s="2560" t="s">
        <v>2508</v>
      </c>
      <c r="B31" s="1005" t="s">
        <v>2509</v>
      </c>
      <c r="C31" s="1006">
        <f ca="1">ROUND(C4*F31/(1+'数据-取费表'!C42),0)</f>
        <v>15808</v>
      </c>
      <c r="D31" s="1007"/>
      <c r="E31" s="1008"/>
      <c r="F31" s="1009">
        <f>'数据-取费表'!B41</f>
        <v>5.6000000000000001E-2</v>
      </c>
      <c r="G31" s="1010" t="s">
        <v>2510</v>
      </c>
      <c r="H31" s="1011"/>
      <c r="I31" s="1011"/>
      <c r="J31" s="1011"/>
      <c r="K31" s="1012"/>
    </row>
    <row r="32" spans="1:33" s="970" customFormat="1" ht="13.5" customHeight="1" thickBot="1">
      <c r="A32" s="1000" t="s">
        <v>2511</v>
      </c>
      <c r="B32" s="1001"/>
      <c r="C32" s="1002">
        <f ca="1">ROUND((C4-C21-C22-C23-C25-C28-C31)/(1+C24+D25+D28),0)</f>
        <v>223535</v>
      </c>
      <c r="D32" s="1001"/>
      <c r="E32" s="1001"/>
      <c r="F32" s="1001"/>
      <c r="G32" s="1003" t="s">
        <v>2512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zoomScale="70" zoomScaleNormal="70" zoomScaleSheetLayoutView="90" workbookViewId="0">
      <selection activeCell="J56" sqref="J56"/>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81640625" style="302" customWidth="1"/>
    <col min="6" max="6" width="10.6328125" style="302" customWidth="1"/>
    <col min="7" max="7" width="4.90625" style="302" customWidth="1"/>
    <col min="8" max="8" width="8.453125" style="302" customWidth="1"/>
    <col min="9" max="9" width="21.1796875" style="302" customWidth="1"/>
    <col min="10" max="10" width="12.1796875" style="302" customWidth="1"/>
    <col min="11" max="11" width="45.08984375" style="1933" customWidth="1"/>
    <col min="12" max="12" width="16.36328125" style="302" customWidth="1"/>
    <col min="13" max="13" width="13" style="302" customWidth="1"/>
    <col min="14" max="14" width="13.81640625" style="1841" customWidth="1"/>
    <col min="15" max="15" width="5.08984375" style="1841" customWidth="1"/>
    <col min="16" max="16" width="25.81640625" style="1841" customWidth="1"/>
    <col min="17" max="17" width="13.81640625" style="1841" customWidth="1"/>
    <col min="18" max="18" width="20.453125" style="1841" customWidth="1"/>
    <col min="19" max="19" width="13.1796875" style="1841" customWidth="1"/>
    <col min="20" max="37" width="9" style="1841"/>
    <col min="38" max="16384" width="9" style="302"/>
  </cols>
  <sheetData>
    <row r="1" spans="1:37" s="337" customFormat="1" ht="21">
      <c r="A1" s="1832" t="s">
        <v>1583</v>
      </c>
      <c r="B1" s="782"/>
      <c r="C1" s="1836" t="s">
        <v>27</v>
      </c>
      <c r="D1" s="1819" t="s">
        <v>4718</v>
      </c>
      <c r="E1" s="1820" t="s">
        <v>1381</v>
      </c>
      <c r="F1" s="1283">
        <f ca="1">J53</f>
        <v>22.745000000000001</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35266</v>
      </c>
      <c r="C2" s="1844" t="s">
        <v>1510</v>
      </c>
      <c r="D2" s="1844"/>
      <c r="E2" s="1845"/>
      <c r="F2" s="1846"/>
      <c r="G2" s="1847"/>
      <c r="H2" s="1839"/>
      <c r="I2" s="1839"/>
      <c r="J2" s="1839"/>
      <c r="K2" s="1840"/>
      <c r="L2" s="1839"/>
      <c r="M2" s="1839"/>
    </row>
    <row r="3" spans="1:37" ht="18" customHeight="1" thickBot="1">
      <c r="A3" s="1848" t="s">
        <v>1511</v>
      </c>
      <c r="B3" s="1849">
        <f ca="1">IF(ISERROR(B2*10000/F43),0,ROUND(B2*10000/F43,0))</f>
        <v>15301</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2720</v>
      </c>
      <c r="D5" s="1821" t="s">
        <v>1396</v>
      </c>
      <c r="E5" s="1293"/>
      <c r="F5" s="1294"/>
      <c r="G5" s="1850"/>
      <c r="H5" s="344">
        <v>1</v>
      </c>
      <c r="I5" s="345" t="s">
        <v>1395</v>
      </c>
      <c r="J5" s="1292">
        <f ca="1">J6+J10+J12</f>
        <v>0</v>
      </c>
      <c r="K5" s="1821" t="s">
        <v>1396</v>
      </c>
      <c r="L5" s="1293"/>
      <c r="M5" s="1294"/>
    </row>
    <row r="6" spans="1:37" ht="18" customHeight="1">
      <c r="A6" s="1291" t="s">
        <v>1031</v>
      </c>
      <c r="B6" s="3215" t="s">
        <v>1397</v>
      </c>
      <c r="C6" s="1296">
        <f ca="1">ROUND(F6*F8*F7*(1-F9)/10000,0)</f>
        <v>2717</v>
      </c>
      <c r="D6" s="164" t="s">
        <v>3026</v>
      </c>
      <c r="E6" s="347" t="s">
        <v>1399</v>
      </c>
      <c r="F6" s="348">
        <f ca="1">INDIRECT("'数据-取费表'!u"&amp;$G$1)</f>
        <v>3.8</v>
      </c>
      <c r="G6" s="1850"/>
      <c r="H6" s="1291" t="s">
        <v>1031</v>
      </c>
      <c r="I6" s="3215" t="s">
        <v>1397</v>
      </c>
      <c r="J6" s="346">
        <f ca="1">ROUND(M6*M8*M7*(1-M9)/10000,0)</f>
        <v>0</v>
      </c>
      <c r="K6" s="164" t="s">
        <v>3025</v>
      </c>
      <c r="L6" s="347" t="s">
        <v>1399</v>
      </c>
      <c r="M6" s="348">
        <f ca="1">INDIRECT("'数据-取费表'!z"&amp;$G$1)</f>
        <v>0</v>
      </c>
    </row>
    <row r="7" spans="1:37" ht="18" customHeight="1">
      <c r="A7" s="1295"/>
      <c r="B7" s="3216"/>
      <c r="C7" s="1297"/>
      <c r="D7" s="352"/>
      <c r="E7" s="1298" t="s">
        <v>1400</v>
      </c>
      <c r="F7" s="348">
        <f ca="1">IF(INDIRECT("'数据-取费表'!ah"&amp;$G$1)="",INDIRECT("'数据-取费表'!k"&amp;$G$1),INDIRECT("'数据-取费表'!ah"&amp;$G$1))</f>
        <v>23048.45</v>
      </c>
      <c r="G7" s="1850"/>
      <c r="H7" s="349"/>
      <c r="I7" s="3216"/>
      <c r="J7" s="351"/>
      <c r="K7" s="352"/>
      <c r="L7" s="347" t="s">
        <v>1400</v>
      </c>
      <c r="M7" s="348">
        <f ca="1">F7</f>
        <v>23048.45</v>
      </c>
    </row>
    <row r="8" spans="1:37" ht="18" customHeight="1">
      <c r="A8" s="349"/>
      <c r="B8" s="3216"/>
      <c r="C8" s="351"/>
      <c r="D8" s="352"/>
      <c r="E8" s="347" t="s">
        <v>1401</v>
      </c>
      <c r="F8" s="348">
        <f ca="1">INDIRECT("'数据-取费表'!ai"&amp;$G$1)</f>
        <v>365</v>
      </c>
      <c r="G8" s="1850"/>
      <c r="H8" s="349"/>
      <c r="I8" s="3216"/>
      <c r="J8" s="351"/>
      <c r="K8" s="352"/>
      <c r="L8" s="347" t="s">
        <v>1401</v>
      </c>
      <c r="M8" s="348">
        <f ca="1">INDIRECT("'数据-取费表'!ai"&amp;$G$1)</f>
        <v>365</v>
      </c>
    </row>
    <row r="9" spans="1:37" ht="18" customHeight="1">
      <c r="A9" s="349"/>
      <c r="B9" s="3217"/>
      <c r="C9" s="351"/>
      <c r="D9" s="352"/>
      <c r="E9" s="347" t="s">
        <v>1402</v>
      </c>
      <c r="F9" s="357">
        <f ca="1">INDIRECT("'数据-取费表'!w"&amp;$G$1)</f>
        <v>0.15</v>
      </c>
      <c r="G9" s="1850"/>
      <c r="H9" s="349"/>
      <c r="I9" s="3217"/>
      <c r="J9" s="351"/>
      <c r="K9" s="352"/>
      <c r="L9" s="358" t="s">
        <v>1402</v>
      </c>
      <c r="M9" s="359">
        <f ca="1">INDIRECT("'数据-取费表'!ab"&amp;$G$1)</f>
        <v>0</v>
      </c>
    </row>
    <row r="10" spans="1:37" ht="18" customHeight="1">
      <c r="A10" s="1291" t="s">
        <v>1035</v>
      </c>
      <c r="B10" s="1822" t="s">
        <v>1403</v>
      </c>
      <c r="C10" s="361">
        <f ca="1">ROUND(IF(F10="押一",C6/12*F11,IF(F10="押二",C6/12*2*F11,IF(F10="押三",C6/12*3*F11,C11*F11))),0)</f>
        <v>3</v>
      </c>
      <c r="D10" s="1823" t="s">
        <v>3035</v>
      </c>
      <c r="E10" s="358" t="s">
        <v>1404</v>
      </c>
      <c r="F10" s="1366" t="s">
        <v>4719</v>
      </c>
      <c r="G10" s="1850"/>
      <c r="H10" s="1291" t="s">
        <v>1035</v>
      </c>
      <c r="I10" s="1822" t="s">
        <v>1403</v>
      </c>
      <c r="J10" s="346">
        <f ca="1">ROUND(IF(M10="押一",J6/12*M11,IF(M10="押二",J6/12*2*M11,IF(M10="押三",J6/12*3*M11,J11*M11))),0)</f>
        <v>0</v>
      </c>
      <c r="K10" s="1823" t="s">
        <v>3034</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11492</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8067</v>
      </c>
      <c r="D14" s="1799" t="s">
        <v>1412</v>
      </c>
      <c r="E14" s="1793"/>
      <c r="F14" s="364"/>
      <c r="G14" s="1850"/>
      <c r="H14" s="1201" t="s">
        <v>1031</v>
      </c>
      <c r="I14" s="347" t="s">
        <v>1413</v>
      </c>
      <c r="J14" s="24">
        <f ca="1">C29</f>
        <v>11492</v>
      </c>
      <c r="K14" s="15"/>
      <c r="L14" s="979"/>
      <c r="M14" s="980"/>
    </row>
    <row r="15" spans="1:37" s="1857" customFormat="1" ht="18" customHeight="1" thickBot="1">
      <c r="A15" s="1201" t="s">
        <v>1032</v>
      </c>
      <c r="B15" s="347" t="s">
        <v>1414</v>
      </c>
      <c r="C15" s="24">
        <f ca="1">ROUND(C14*F15,0)</f>
        <v>323</v>
      </c>
      <c r="D15" s="365" t="s">
        <v>1415</v>
      </c>
      <c r="E15" s="365" t="s">
        <v>1416</v>
      </c>
      <c r="F15" s="366">
        <f>'数据-取费表'!B33</f>
        <v>0.04</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219</v>
      </c>
      <c r="K16" s="1337" t="s">
        <v>1419</v>
      </c>
      <c r="L16" s="1338"/>
      <c r="M16" s="1294"/>
    </row>
    <row r="17" spans="1:37" s="1857" customFormat="1" ht="18" customHeight="1">
      <c r="A17" s="1201" t="s">
        <v>1384</v>
      </c>
      <c r="B17" s="347" t="s">
        <v>1420</v>
      </c>
      <c r="C17" s="24">
        <f ca="1">ROUND(F17*(F43+INDIRECT("'数据-取费表'!S"&amp;$G$1))/10000,0)</f>
        <v>461</v>
      </c>
      <c r="D17" s="347" t="s">
        <v>1421</v>
      </c>
      <c r="E17" s="347" t="s">
        <v>1422</v>
      </c>
      <c r="F17" s="26">
        <f>'数据-取费表'!B35</f>
        <v>200</v>
      </c>
      <c r="G17" s="1853"/>
      <c r="H17" s="1201" t="s">
        <v>1031</v>
      </c>
      <c r="I17" s="347" t="s">
        <v>1423</v>
      </c>
      <c r="J17" s="24">
        <f ca="1">ROUND(IF(项目基本情况!B11="自然人",J6*M17/(1+'数据-取费表'!C42),J18+J19+J20),1)</f>
        <v>104.5</v>
      </c>
      <c r="K17" s="1799" t="s">
        <v>1424</v>
      </c>
      <c r="L17" s="1797" t="s">
        <v>1425</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121</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8972</v>
      </c>
      <c r="D19" s="140" t="s">
        <v>1430</v>
      </c>
      <c r="E19" s="1817"/>
      <c r="F19" s="26"/>
      <c r="G19" s="1850"/>
      <c r="H19" s="1201" t="s">
        <v>1032</v>
      </c>
      <c r="I19" s="347" t="s">
        <v>1431</v>
      </c>
      <c r="J19" s="24">
        <f ca="1">IF(K19="按租金收入计税",ROUND(J6*M19/(1+'数据-取费表'!C42),2),ROUND(C29*M19*0.7,2))</f>
        <v>96.53</v>
      </c>
      <c r="K19" s="1827" t="s">
        <v>1432</v>
      </c>
      <c r="L19" s="347" t="s">
        <v>1416</v>
      </c>
      <c r="M19" s="367">
        <f>IF(K19="按租金收入计税",'数据-取费表'!B51,'数据-取费表'!B50)</f>
        <v>1.2E-2</v>
      </c>
    </row>
    <row r="20" spans="1:37" s="1857" customFormat="1" ht="18" customHeight="1">
      <c r="A20" s="1201" t="s">
        <v>1035</v>
      </c>
      <c r="B20" s="347" t="s">
        <v>1433</v>
      </c>
      <c r="C20" s="24">
        <f ca="1">ROUND(C19*F20,0)</f>
        <v>179</v>
      </c>
      <c r="D20" s="369" t="s">
        <v>1434</v>
      </c>
      <c r="E20" s="347" t="s">
        <v>1416</v>
      </c>
      <c r="F20" s="367">
        <f>'数据-取费表'!B37</f>
        <v>0.02</v>
      </c>
      <c r="G20" s="1853"/>
      <c r="H20" s="1201" t="s">
        <v>1383</v>
      </c>
      <c r="I20" s="164" t="s">
        <v>1435</v>
      </c>
      <c r="J20" s="25">
        <f ca="1">ROUND(M20*M21/10000,2)</f>
        <v>7.92</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5282.25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114.9</v>
      </c>
      <c r="K22" s="1797" t="s">
        <v>1444</v>
      </c>
      <c r="L22" s="347" t="s">
        <v>1416</v>
      </c>
      <c r="M22" s="374">
        <f ca="1">INDIRECT("'数据-取费表'!Ak"&amp;$G$1)</f>
        <v>0.01</v>
      </c>
    </row>
    <row r="23" spans="1:37" s="1857" customFormat="1" ht="18" customHeight="1">
      <c r="A23" s="1201" t="s">
        <v>1030</v>
      </c>
      <c r="B23" s="347" t="s">
        <v>1445</v>
      </c>
      <c r="C23" s="24">
        <f ca="1">IF('数据-取费表'!B22&lt;=1,ROUND(C19*F24*F23/2,0)+ROUND(C20*F24*F23/2,0),ROUND(C19*(POWER((1+F24),F23/2)-1),0)+ROUND(C20*(POWER((1+F24),F23/2)-1),0))</f>
        <v>547</v>
      </c>
      <c r="D23" s="375" t="str">
        <f>IF(F23&lt;=1,"(建造成本+管理费用)×利率×(建设周期÷2)","(建造成本+管理费用)×((1+利率)^(建设周期÷2)-1)")</f>
        <v>(建造成本+管理费用)×((1+利率)^(建设周期÷2)-1)</v>
      </c>
      <c r="E23" s="347" t="s">
        <v>1446</v>
      </c>
      <c r="F23" s="371">
        <f>'数据-取费表'!B20</f>
        <v>2.5</v>
      </c>
      <c r="G23" s="1853"/>
      <c r="H23" s="1201" t="s">
        <v>1071</v>
      </c>
      <c r="I23" s="347" t="s">
        <v>1447</v>
      </c>
      <c r="J23" s="24">
        <f ca="1">ROUND(J13*M23,1)</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ROUND(J5*M24,1)</f>
        <v>0</v>
      </c>
      <c r="K24" s="1342" t="s">
        <v>1453</v>
      </c>
      <c r="L24" s="1340" t="s">
        <v>1449</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9" t="s">
        <v>1027</v>
      </c>
      <c r="I25" s="1344" t="s">
        <v>1457</v>
      </c>
      <c r="J25" s="355">
        <f ca="1">J5-J16</f>
        <v>-219</v>
      </c>
      <c r="K25" s="1345" t="s">
        <v>1458</v>
      </c>
      <c r="L25" s="1346"/>
      <c r="M25" s="1347"/>
    </row>
    <row r="26" spans="1:37" ht="13">
      <c r="A26" s="1201" t="s">
        <v>1030</v>
      </c>
      <c r="B26" s="347" t="s">
        <v>1459</v>
      </c>
      <c r="C26" s="24">
        <f ca="1">ROUND((C19+C20)*F26,0)</f>
        <v>915</v>
      </c>
      <c r="D26" s="369" t="s">
        <v>1460</v>
      </c>
      <c r="E26" s="358" t="s">
        <v>1461</v>
      </c>
      <c r="F26" s="357">
        <f ca="1">INDIRECT("'数据-取费表'!q"&amp;$G$1)</f>
        <v>0.1</v>
      </c>
      <c r="G26" s="1850"/>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2E-3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11492</v>
      </c>
      <c r="D29" s="1342"/>
      <c r="E29" s="1340"/>
      <c r="F29" s="1343"/>
      <c r="G29" s="1853"/>
      <c r="H29" s="380" t="s">
        <v>1029</v>
      </c>
      <c r="I29" s="381" t="s">
        <v>1473</v>
      </c>
      <c r="J29" s="382">
        <f ca="1">ROUND(J26/(1+F40)^F41,0)</f>
        <v>0</v>
      </c>
      <c r="K29" s="383" t="s">
        <v>1474</v>
      </c>
      <c r="L29" s="384"/>
      <c r="M29" s="385">
        <f ca="1">INDIRECT("'数据-取费表'!k"&amp;$G$1)</f>
        <v>23048.45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623</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ROUND(IF(项目基本情况!B11="自然人",C6*F31/(1+'数据-取费表'!C42),C32+C33+C34),1)</f>
        <v>463.3</v>
      </c>
      <c r="D31" s="1799" t="s">
        <v>1424</v>
      </c>
      <c r="E31" s="1797" t="s">
        <v>1475</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1030</v>
      </c>
      <c r="B32" s="347" t="s">
        <v>1427</v>
      </c>
      <c r="C32" s="24">
        <f ca="1">IF(项目基本情况!B11="自然人","——",ROUND(C6*F32/(1+'数据-取费表'!C42),2))</f>
        <v>144.91</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310.51</v>
      </c>
      <c r="D33" s="1827" t="s">
        <v>4720</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7.92</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5282.25</v>
      </c>
      <c r="G35" s="1850"/>
      <c r="H35" s="745"/>
      <c r="I35" s="1859"/>
      <c r="J35" s="1860"/>
      <c r="K35" s="1861"/>
      <c r="L35" s="1858"/>
      <c r="M35" s="1858"/>
    </row>
    <row r="36" spans="1:18" ht="18" customHeight="1">
      <c r="A36" s="1352" t="s">
        <v>1035</v>
      </c>
      <c r="B36" s="347" t="s">
        <v>1443</v>
      </c>
      <c r="C36" s="24">
        <f ca="1">ROUND(C29*F36,1)</f>
        <v>114.9</v>
      </c>
      <c r="D36" s="1797" t="s">
        <v>1476</v>
      </c>
      <c r="E36" s="347" t="s">
        <v>1416</v>
      </c>
      <c r="F36" s="374">
        <f ca="1">INDIRECT("'数据-取费表'!Ak"&amp;$G$1)</f>
        <v>0.01</v>
      </c>
      <c r="G36" s="1850"/>
      <c r="H36" s="1858"/>
      <c r="I36" s="1859"/>
      <c r="J36" s="1860"/>
      <c r="K36" s="751"/>
      <c r="L36" s="1858"/>
      <c r="M36" s="1858"/>
    </row>
    <row r="37" spans="1:18" ht="18" customHeight="1">
      <c r="A37" s="1201" t="s">
        <v>1071</v>
      </c>
      <c r="B37" s="347" t="s">
        <v>1447</v>
      </c>
      <c r="C37" s="24">
        <f ca="1">ROUND(C13*F37,1)</f>
        <v>17.2</v>
      </c>
      <c r="D37" s="1797" t="s">
        <v>1448</v>
      </c>
      <c r="E37" s="347" t="s">
        <v>1449</v>
      </c>
      <c r="F37" s="376">
        <f ca="1">INDIRECT("'数据-取费表'!Al"&amp;$G$1)</f>
        <v>1.5E-3</v>
      </c>
      <c r="G37" s="1850"/>
      <c r="H37" s="1858"/>
      <c r="I37" s="1859"/>
      <c r="J37" s="1860"/>
      <c r="K37" s="751"/>
      <c r="L37" s="1858"/>
      <c r="M37" s="1858"/>
    </row>
    <row r="38" spans="1:18" ht="18" customHeight="1" thickBot="1">
      <c r="A38" s="1339" t="s">
        <v>1387</v>
      </c>
      <c r="B38" s="1340" t="s">
        <v>1433</v>
      </c>
      <c r="C38" s="1341">
        <f ca="1">ROUND(C5*F38,1)</f>
        <v>27.2</v>
      </c>
      <c r="D38" s="1342" t="s">
        <v>1453</v>
      </c>
      <c r="E38" s="1340" t="s">
        <v>1449</v>
      </c>
      <c r="F38" s="1336">
        <f ca="1">INDIRECT("'数据-取费表'!Am"&amp;$G$1)</f>
        <v>0.01</v>
      </c>
      <c r="G38" s="1850"/>
      <c r="H38" s="1858"/>
      <c r="I38" s="1859"/>
      <c r="J38" s="1860"/>
      <c r="K38" s="1864"/>
      <c r="L38" s="1858"/>
      <c r="M38" s="1858"/>
    </row>
    <row r="39" spans="1:18" ht="24.65" customHeight="1" thickTop="1">
      <c r="A39" s="1329" t="s">
        <v>1027</v>
      </c>
      <c r="B39" s="1344" t="s">
        <v>1477</v>
      </c>
      <c r="C39" s="355">
        <f ca="1">C5-C30</f>
        <v>2097</v>
      </c>
      <c r="D39" s="1345" t="s">
        <v>1478</v>
      </c>
      <c r="E39" s="1346"/>
      <c r="F39" s="1347"/>
      <c r="G39" s="1850"/>
      <c r="H39" s="1858"/>
      <c r="I39" s="1859"/>
      <c r="J39" s="1860"/>
      <c r="K39" s="1864"/>
      <c r="L39" s="1858"/>
      <c r="M39" s="1858"/>
    </row>
    <row r="40" spans="1:18" ht="18" customHeight="1">
      <c r="A40" s="344" t="s">
        <v>1028</v>
      </c>
      <c r="B40" s="345" t="s">
        <v>1479</v>
      </c>
      <c r="C40" s="346">
        <f ca="1">ROUND(C39*(1-((1+F42)/(1+F40))^F41)/(F40-F42),0)</f>
        <v>35266</v>
      </c>
      <c r="D40" s="370" t="s">
        <v>1463</v>
      </c>
      <c r="E40" s="347" t="s">
        <v>1464</v>
      </c>
      <c r="F40" s="35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22.745000000000001</v>
      </c>
      <c r="G41" s="1850"/>
      <c r="H41" s="732"/>
      <c r="I41" s="1859"/>
      <c r="J41" s="1860"/>
      <c r="K41" s="751"/>
      <c r="L41" s="732"/>
      <c r="M41" s="732"/>
    </row>
    <row r="42" spans="1:18" ht="18" customHeight="1">
      <c r="A42" s="353"/>
      <c r="B42" s="354"/>
      <c r="C42" s="355"/>
      <c r="D42" s="373"/>
      <c r="E42" s="347" t="s">
        <v>1471</v>
      </c>
      <c r="F42" s="357">
        <f ca="1">INDIRECT("'数据-取费表'!v"&amp;$G$1)</f>
        <v>0.03</v>
      </c>
      <c r="G42" s="1850"/>
      <c r="H42" s="732"/>
      <c r="I42" s="1859"/>
      <c r="J42" s="1860"/>
      <c r="K42" s="751"/>
      <c r="L42" s="732"/>
      <c r="M42" s="732"/>
    </row>
    <row r="43" spans="1:18" ht="18" customHeight="1" thickBot="1">
      <c r="A43" s="380" t="s">
        <v>1029</v>
      </c>
      <c r="B43" s="381" t="s">
        <v>1481</v>
      </c>
      <c r="C43" s="382">
        <f ca="1">ROUND(C40*10000/F43,0)</f>
        <v>15301</v>
      </c>
      <c r="D43" s="383" t="s">
        <v>1482</v>
      </c>
      <c r="E43" s="384" t="s">
        <v>1483</v>
      </c>
      <c r="F43" s="385">
        <f ca="1">INDIRECT("'数据-取费表'!k"&amp;$G$1)</f>
        <v>23048.45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4" thickBot="1">
      <c r="A46" s="1869" t="s">
        <v>1514</v>
      </c>
      <c r="C46" s="1870">
        <f ca="1">C68-C40</f>
        <v>-49412</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4721</v>
      </c>
      <c r="K47" s="1881" t="s">
        <v>1521</v>
      </c>
      <c r="L47" s="1882">
        <f ca="1">INDIRECT("'数据-取费表'!d"&amp;$G$1)</f>
        <v>40</v>
      </c>
      <c r="M47" s="1837" t="str">
        <f>IF(ISNUMBER(FIND("住宅",C1)),"住宅","非住宅")</f>
        <v>非住宅</v>
      </c>
      <c r="O47" s="1883" t="s">
        <v>1036</v>
      </c>
      <c r="P47" s="1884" t="s">
        <v>1522</v>
      </c>
      <c r="Q47" s="1885">
        <f ca="1">C40+J29</f>
        <v>35266</v>
      </c>
      <c r="R47" s="1885" t="s">
        <v>1523</v>
      </c>
    </row>
    <row r="48" spans="1:18" s="1841" customFormat="1" ht="43.5" thickBot="1">
      <c r="A48" s="1360" t="s">
        <v>1131</v>
      </c>
      <c r="B48" s="345" t="s">
        <v>1395</v>
      </c>
      <c r="C48" s="1816">
        <f ca="1">C49+C53+C55</f>
        <v>0</v>
      </c>
      <c r="D48" s="1362"/>
      <c r="E48" s="1363"/>
      <c r="F48" s="1181"/>
      <c r="G48" s="792"/>
      <c r="H48" s="793"/>
      <c r="I48" s="1886" t="s">
        <v>1524</v>
      </c>
      <c r="J48" s="1887" t="s">
        <v>4722</v>
      </c>
      <c r="K48" s="1888" t="s">
        <v>1525</v>
      </c>
      <c r="L48" s="1889">
        <f ca="1">INDIRECT("'数据-取费表'!f"&amp;$G$1)</f>
        <v>23.62</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3027</v>
      </c>
      <c r="E49" s="1829" t="s">
        <v>1485</v>
      </c>
      <c r="F49" s="1281"/>
      <c r="G49" s="1890"/>
      <c r="H49" s="793"/>
      <c r="I49" s="1886" t="s">
        <v>1528</v>
      </c>
      <c r="J49" s="1891"/>
      <c r="K49" s="1888" t="s">
        <v>1529</v>
      </c>
      <c r="L49" s="1892"/>
      <c r="O49" s="1893" t="s">
        <v>1038</v>
      </c>
      <c r="P49" s="1884" t="s">
        <v>1530</v>
      </c>
      <c r="Q49" s="1885">
        <f ca="1">C29</f>
        <v>11492</v>
      </c>
      <c r="R49" s="1885" t="s">
        <v>1523</v>
      </c>
    </row>
    <row r="50" spans="1:18" s="1841" customFormat="1" ht="13.5" thickBot="1">
      <c r="A50" s="1195"/>
      <c r="B50" s="1198"/>
      <c r="C50" s="1368"/>
      <c r="D50" s="1172"/>
      <c r="E50" s="1277" t="s">
        <v>1400</v>
      </c>
      <c r="F50" s="1278">
        <f ca="1">F7</f>
        <v>23048.45</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60</v>
      </c>
      <c r="K51" s="1899" t="s">
        <v>1535</v>
      </c>
      <c r="L51" s="1900">
        <f ca="1">ROUND(-PV(INDIRECT("'数据-取费表'!h"&amp;$G$1),L48,(C39-C13*C76),0),0)</f>
        <v>16092</v>
      </c>
      <c r="M51" s="1901"/>
      <c r="O51" s="1893" t="s">
        <v>1040</v>
      </c>
      <c r="P51" s="1884" t="s">
        <v>1536</v>
      </c>
      <c r="Q51" s="1896">
        <f>J52</f>
        <v>0.09</v>
      </c>
      <c r="R51" s="1885"/>
    </row>
    <row r="52" spans="1:18" s="1841" customFormat="1" ht="13.5" thickBot="1">
      <c r="A52" s="1196"/>
      <c r="B52" s="1198"/>
      <c r="C52" s="1199"/>
      <c r="D52" s="1172"/>
      <c r="E52" s="1200" t="s">
        <v>1402</v>
      </c>
      <c r="F52" s="1275"/>
      <c r="I52" s="1902" t="s">
        <v>1537</v>
      </c>
      <c r="J52" s="1903">
        <v>0.09</v>
      </c>
      <c r="K52" s="1902" t="s">
        <v>1538</v>
      </c>
      <c r="L52" s="1903"/>
      <c r="O52" s="1893" t="s">
        <v>1041</v>
      </c>
      <c r="P52" s="1884" t="s">
        <v>1539</v>
      </c>
      <c r="Q52" s="1885">
        <f ca="1">J53</f>
        <v>22.745000000000001</v>
      </c>
      <c r="R52" s="1885" t="s">
        <v>1540</v>
      </c>
    </row>
    <row r="53" spans="1:18" s="1841" customFormat="1" ht="26.5" thickBot="1">
      <c r="A53" s="1405" t="s">
        <v>1133</v>
      </c>
      <c r="B53" s="1830" t="s">
        <v>1403</v>
      </c>
      <c r="C53" s="361">
        <f ca="1">ROUND(IF(F53="押一",C49/12*F11,IF(F53="押二",C49/12*2*F11,IF(F53="押三",C49/12*3*F11,C54*F11))),0)</f>
        <v>0</v>
      </c>
      <c r="D53" s="1823" t="s">
        <v>3034</v>
      </c>
      <c r="E53" s="358" t="s">
        <v>1404</v>
      </c>
      <c r="F53" s="1366"/>
      <c r="I53" s="1904" t="s">
        <v>1541</v>
      </c>
      <c r="J53" s="2950">
        <f ca="1">IF(M47="住宅",IF(D1="——",MAX(J51,L48),MAX(J51,L48-'数据-取费表'!B24)),IF(D1="——",MIN(J51,L48),MIN(J51,L48-'数据-取费表'!B24)))</f>
        <v>22.745000000000001</v>
      </c>
      <c r="K53" s="3213" t="s">
        <v>1542</v>
      </c>
      <c r="L53" s="3214"/>
      <c r="O53" s="1883" t="s">
        <v>1042</v>
      </c>
      <c r="P53" s="1884" t="s">
        <v>1543</v>
      </c>
      <c r="Q53" s="1885">
        <f ca="1">Q47+Q48</f>
        <v>35266</v>
      </c>
      <c r="R53" s="1885" t="s">
        <v>1043</v>
      </c>
    </row>
    <row r="54" spans="1:18" s="1841" customFormat="1" ht="26.5" thickBot="1">
      <c r="A54" s="1406"/>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40" thickTop="1" thickBot="1">
      <c r="A56" s="1176">
        <v>2</v>
      </c>
      <c r="B56" s="1177" t="s">
        <v>1408</v>
      </c>
      <c r="C56" s="276">
        <f ca="1">C13</f>
        <v>11492</v>
      </c>
      <c r="D56" s="1912"/>
      <c r="E56" s="1913"/>
      <c r="F56" s="1905"/>
      <c r="I56" s="1914" t="s">
        <v>1548</v>
      </c>
      <c r="J56" s="1915" t="s">
        <v>3063</v>
      </c>
      <c r="K56" s="1886" t="s">
        <v>1549</v>
      </c>
      <c r="L56" s="1889" t="str">
        <f ca="1">IF(L48&lt;J51,"——",L48-J53)</f>
        <v>——</v>
      </c>
      <c r="O56" s="1883" t="s">
        <v>1036</v>
      </c>
      <c r="P56" s="1884" t="s">
        <v>1522</v>
      </c>
      <c r="Q56" s="1885">
        <f ca="1">C40+J29</f>
        <v>35266</v>
      </c>
      <c r="R56" s="1885" t="s">
        <v>1523</v>
      </c>
    </row>
    <row r="57" spans="1:18" s="1841" customFormat="1" ht="26.5" thickBot="1">
      <c r="A57" s="1916"/>
      <c r="B57" s="1169" t="s">
        <v>1472</v>
      </c>
      <c r="C57" s="282">
        <f ca="1">C29</f>
        <v>11492</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6.5" thickBot="1">
      <c r="A58" s="360" t="s">
        <v>1026</v>
      </c>
      <c r="B58" s="1177" t="s">
        <v>1418</v>
      </c>
      <c r="C58" s="361">
        <f ca="1">ROUND(C59+C64+C65+C66,0)</f>
        <v>1105</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6.5" thickBot="1">
      <c r="A59" s="1201" t="s">
        <v>1031</v>
      </c>
      <c r="B59" s="1169" t="s">
        <v>1423</v>
      </c>
      <c r="C59" s="24">
        <f ca="1">ROUND(IF(项目基本情况!B11="自然人",C48*F59,C60+C61+C62),1)</f>
        <v>973.3</v>
      </c>
      <c r="D59" s="1182" t="s">
        <v>1424</v>
      </c>
      <c r="E59" s="1183" t="s">
        <v>1425</v>
      </c>
      <c r="F59" s="368">
        <f ca="1">IF(项目基本情况!B11="企业","",IF(INDIRECT("'数据-取费表'!c"&amp;$G$1)="住宅",5%,IF(F49*F50*F51/12/(1+'数据-取费表'!C42)&gt;20000,12%,7%)))</f>
        <v>7.0000000000000007E-2</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 thickBot="1">
      <c r="A60" s="1201" t="s">
        <v>1030</v>
      </c>
      <c r="B60" s="1169" t="s">
        <v>1427</v>
      </c>
      <c r="C60" s="24">
        <f ca="1">IF(项目基本情况!B11="自然人","——",ROUND(C48*F60/(1+'数据-取费表'!C42),2))</f>
        <v>0</v>
      </c>
      <c r="D60" s="1183" t="s">
        <v>1428</v>
      </c>
      <c r="E60" s="1169"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965.33</v>
      </c>
      <c r="D61" s="1827" t="s">
        <v>1432</v>
      </c>
      <c r="E61" s="1169" t="s">
        <v>1488</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7.92</v>
      </c>
      <c r="D62" s="1184" t="s">
        <v>1491</v>
      </c>
      <c r="E62" s="1169" t="s">
        <v>1492</v>
      </c>
      <c r="F62" s="371">
        <f t="shared" si="0"/>
        <v>15</v>
      </c>
      <c r="I62" s="1927" t="s">
        <v>1564</v>
      </c>
      <c r="J62" s="1928" t="s">
        <v>1565</v>
      </c>
      <c r="K62" s="1928" t="s">
        <v>1566</v>
      </c>
      <c r="L62" s="1928" t="s">
        <v>1567</v>
      </c>
      <c r="M62" s="1929" t="s">
        <v>1568</v>
      </c>
      <c r="O62" s="1883" t="s">
        <v>1042</v>
      </c>
      <c r="P62" s="1884" t="s">
        <v>1569</v>
      </c>
      <c r="Q62" s="1885">
        <f ca="1">Q56+Q57</f>
        <v>35266</v>
      </c>
      <c r="R62" s="1885" t="s">
        <v>1043</v>
      </c>
    </row>
    <row r="63" spans="1:18" s="1841" customFormat="1" ht="13.5" thickBot="1">
      <c r="A63" s="372"/>
      <c r="B63" s="1175"/>
      <c r="C63" s="29"/>
      <c r="D63" s="1185"/>
      <c r="E63" s="1169" t="s">
        <v>1493</v>
      </c>
      <c r="F63" s="348">
        <f t="shared" ca="1" si="0"/>
        <v>5282.25</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114.9</v>
      </c>
      <c r="D64" s="1183" t="s">
        <v>1496</v>
      </c>
      <c r="E64" s="1169" t="s">
        <v>1488</v>
      </c>
      <c r="F64" s="374">
        <f t="shared" ca="1" si="0"/>
        <v>0.01</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17.2</v>
      </c>
      <c r="D65" s="1183" t="s">
        <v>1448</v>
      </c>
      <c r="E65" s="1169" t="s">
        <v>1449</v>
      </c>
      <c r="F65" s="376">
        <f t="shared" ca="1" si="0"/>
        <v>1.5E-3</v>
      </c>
      <c r="I65" s="1927" t="s">
        <v>1573</v>
      </c>
      <c r="J65" s="1928">
        <v>40</v>
      </c>
      <c r="K65" s="1928">
        <v>30</v>
      </c>
      <c r="L65" s="1928">
        <v>50</v>
      </c>
      <c r="M65" s="1930">
        <v>0.02</v>
      </c>
      <c r="O65" s="1883" t="s">
        <v>1036</v>
      </c>
      <c r="P65" s="1884" t="s">
        <v>1574</v>
      </c>
      <c r="Q65" s="1885">
        <f ca="1">C40+J29</f>
        <v>35266</v>
      </c>
      <c r="R65" s="1885" t="s">
        <v>1523</v>
      </c>
    </row>
    <row r="66" spans="1:18" s="1841" customFormat="1" ht="16" thickBot="1">
      <c r="A66" s="1201" t="s">
        <v>1498</v>
      </c>
      <c r="B66" s="1169" t="s">
        <v>1433</v>
      </c>
      <c r="C66" s="24">
        <f ca="1">ROUND(C48*F66,1)</f>
        <v>0</v>
      </c>
      <c r="D66" s="1183" t="s">
        <v>1499</v>
      </c>
      <c r="E66" s="1169" t="s">
        <v>1416</v>
      </c>
      <c r="F66" s="357">
        <f t="shared" ca="1" si="0"/>
        <v>0.01</v>
      </c>
      <c r="O66" s="1883" t="s">
        <v>1037</v>
      </c>
      <c r="P66" s="1884" t="s">
        <v>1552</v>
      </c>
      <c r="Q66" s="1885">
        <f ca="1">L60</f>
        <v>0</v>
      </c>
      <c r="R66" s="1885" t="s">
        <v>1575</v>
      </c>
    </row>
    <row r="67" spans="1:18" s="1841" customFormat="1" ht="26.5" thickBot="1">
      <c r="A67" s="1176" t="s">
        <v>1027</v>
      </c>
      <c r="B67" s="1186" t="s">
        <v>1457</v>
      </c>
      <c r="C67" s="361">
        <f ca="1">C48-C58</f>
        <v>-1105</v>
      </c>
      <c r="D67" s="1182" t="s">
        <v>1458</v>
      </c>
      <c r="E67" s="1187"/>
      <c r="F67" s="1188"/>
      <c r="O67" s="1893" t="s">
        <v>1038</v>
      </c>
      <c r="P67" s="1884" t="s">
        <v>1556</v>
      </c>
      <c r="Q67" s="1931">
        <f ca="1">L51</f>
        <v>16092</v>
      </c>
      <c r="R67" s="1885" t="s">
        <v>1576</v>
      </c>
    </row>
    <row r="68" spans="1:18" s="1841" customFormat="1" ht="16" thickBot="1">
      <c r="A68" s="1166" t="s">
        <v>1028</v>
      </c>
      <c r="B68" s="1167" t="s">
        <v>1479</v>
      </c>
      <c r="C68" s="346">
        <f ca="1">ROUND(C67*(1-((1+F70)/(1+F68))^F69)/(F68-F70),0)</f>
        <v>-14146</v>
      </c>
      <c r="D68" s="1184" t="s">
        <v>1463</v>
      </c>
      <c r="E68" s="1169" t="s">
        <v>1464</v>
      </c>
      <c r="F68" s="357">
        <f ca="1">F40</f>
        <v>5.5E-2</v>
      </c>
      <c r="O68" s="1893" t="s">
        <v>1039</v>
      </c>
      <c r="P68" s="1932" t="s">
        <v>1577</v>
      </c>
      <c r="Q68" s="1885">
        <f ca="1">ROUND(Q69-Q70*Q71,0)</f>
        <v>1120</v>
      </c>
      <c r="R68" s="1885" t="s">
        <v>1047</v>
      </c>
    </row>
    <row r="69" spans="1:18" s="1841" customFormat="1" ht="13.5" thickBot="1">
      <c r="A69" s="1170"/>
      <c r="B69" s="1171"/>
      <c r="C69" s="351"/>
      <c r="D69" s="1189" t="s">
        <v>1467</v>
      </c>
      <c r="E69" s="1169" t="s">
        <v>1468</v>
      </c>
      <c r="F69" s="379">
        <f ca="1">F41</f>
        <v>22.745000000000001</v>
      </c>
      <c r="O69" s="1893" t="s">
        <v>1044</v>
      </c>
      <c r="P69" s="1932" t="s">
        <v>1578</v>
      </c>
      <c r="Q69" s="1885">
        <f ca="1">C39</f>
        <v>2097</v>
      </c>
      <c r="R69" s="1885" t="s">
        <v>1523</v>
      </c>
    </row>
    <row r="70" spans="1:18" s="1841" customFormat="1" ht="13.5" thickBot="1">
      <c r="A70" s="1173"/>
      <c r="B70" s="1174"/>
      <c r="C70" s="355"/>
      <c r="D70" s="1185"/>
      <c r="E70" s="1169" t="s">
        <v>1471</v>
      </c>
      <c r="F70" s="1275"/>
      <c r="O70" s="1893" t="s">
        <v>1045</v>
      </c>
      <c r="P70" s="1932" t="s">
        <v>1579</v>
      </c>
      <c r="Q70" s="1885">
        <f ca="1">C13</f>
        <v>11492</v>
      </c>
      <c r="R70" s="1885" t="s">
        <v>1523</v>
      </c>
    </row>
    <row r="71" spans="1:18" s="1841" customFormat="1" ht="13.5" thickBot="1">
      <c r="A71" s="1190" t="s">
        <v>1029</v>
      </c>
      <c r="B71" s="1191" t="s">
        <v>1481</v>
      </c>
      <c r="C71" s="382">
        <f ca="1">ROUND(C68*10000/F71,0)</f>
        <v>-6138</v>
      </c>
      <c r="D71" s="1192" t="s">
        <v>1482</v>
      </c>
      <c r="E71" s="1193" t="s">
        <v>1483</v>
      </c>
      <c r="F71" s="385">
        <f ca="1">F43</f>
        <v>23048.45</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977</v>
      </c>
      <c r="D75" s="1841"/>
      <c r="E75" s="1841"/>
      <c r="F75" s="1841"/>
      <c r="K75" s="1867"/>
      <c r="L75" s="1841"/>
      <c r="O75" s="1883" t="s">
        <v>1042</v>
      </c>
      <c r="P75" s="1884" t="s">
        <v>1543</v>
      </c>
      <c r="Q75" s="1885">
        <f ca="1">Q65+Q66</f>
        <v>35266</v>
      </c>
      <c r="R75" s="1885" t="s">
        <v>1043</v>
      </c>
    </row>
    <row r="76" spans="1:18" ht="13">
      <c r="B76" s="388" t="s">
        <v>1501</v>
      </c>
      <c r="C76" s="389">
        <f ca="1">INDIRECT("'数据-取费表'!j"&amp;$G$1)</f>
        <v>8.5000000000000006E-2</v>
      </c>
      <c r="I76" s="1841"/>
      <c r="J76" s="1841"/>
      <c r="K76" s="1867"/>
      <c r="L76" s="1841"/>
    </row>
    <row r="77" spans="1:18" ht="13.5">
      <c r="B77" s="390" t="s">
        <v>1502</v>
      </c>
      <c r="C77" s="391"/>
      <c r="I77" s="1841"/>
      <c r="J77" s="1841"/>
      <c r="K77" s="1867"/>
      <c r="L77" s="1841"/>
    </row>
    <row r="78" spans="1:18" ht="13.5">
      <c r="B78" s="314" t="s">
        <v>1503</v>
      </c>
      <c r="C78" s="392"/>
    </row>
    <row r="79" spans="1:18" ht="13">
      <c r="B79" s="386" t="s">
        <v>1504</v>
      </c>
      <c r="C79" s="318">
        <f ca="1">1-C80</f>
        <v>0.53400000000000003</v>
      </c>
    </row>
    <row r="80" spans="1:18" ht="13">
      <c r="B80" s="386" t="s">
        <v>1505</v>
      </c>
      <c r="C80" s="318">
        <f ca="1">ROUND(C75/C39,3)</f>
        <v>0.46600000000000003</v>
      </c>
    </row>
    <row r="81" spans="2:3" ht="13.5">
      <c r="B81" s="314" t="s">
        <v>1506</v>
      </c>
      <c r="C81" s="282"/>
    </row>
    <row r="82" spans="2:3" ht="13">
      <c r="B82" s="317" t="s">
        <v>1507</v>
      </c>
      <c r="C82" s="319">
        <f ca="1">1-C83</f>
        <v>0.67399999999999993</v>
      </c>
    </row>
    <row r="83" spans="2:3" ht="13">
      <c r="B83" s="317" t="s">
        <v>1508</v>
      </c>
      <c r="C83" s="318">
        <f ca="1">ROUND(C13/C40,3)</f>
        <v>0.32600000000000001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opLeftCell="A22" zoomScale="70" zoomScaleNormal="70" zoomScaleSheetLayoutView="90" workbookViewId="0">
      <selection activeCell="J53" sqref="J53"/>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81640625" style="302" customWidth="1"/>
    <col min="6" max="6" width="10.6328125" style="302" customWidth="1"/>
    <col min="7" max="7" width="4.90625" style="302" customWidth="1"/>
    <col min="8" max="8" width="8.453125" style="302" customWidth="1"/>
    <col min="9" max="9" width="21.1796875" style="302" customWidth="1"/>
    <col min="10" max="10" width="12.1796875" style="302" customWidth="1"/>
    <col min="11" max="11" width="40.08984375" style="1933" customWidth="1"/>
    <col min="12" max="12" width="16.36328125" style="302" customWidth="1"/>
    <col min="13" max="13" width="13" style="302" customWidth="1"/>
    <col min="14" max="14" width="13.81640625" style="1841" customWidth="1"/>
    <col min="15" max="15" width="5.08984375" style="1841" customWidth="1"/>
    <col min="16" max="16" width="25.81640625" style="1841" customWidth="1"/>
    <col min="17" max="17" width="13.81640625" style="1841" customWidth="1"/>
    <col min="18" max="18" width="20.453125" style="1841" customWidth="1"/>
    <col min="19" max="19" width="13.1796875" style="1841" customWidth="1"/>
    <col min="20" max="37" width="9" style="1841"/>
    <col min="38" max="16384" width="9" style="302"/>
  </cols>
  <sheetData>
    <row r="1" spans="1:37" s="337" customFormat="1" ht="21">
      <c r="A1" s="1832" t="s">
        <v>1583</v>
      </c>
      <c r="B1" s="782"/>
      <c r="C1" s="1836"/>
      <c r="D1" s="1819"/>
      <c r="E1" s="1820" t="s">
        <v>1381</v>
      </c>
      <c r="F1" s="1283">
        <f ca="1">J53</f>
        <v>-0.875</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2">
        <f ca="1">C6+C10+C12</f>
        <v>0</v>
      </c>
      <c r="D5" s="1821" t="s">
        <v>1595</v>
      </c>
      <c r="E5" s="1293"/>
      <c r="F5" s="1294"/>
      <c r="G5" s="1850"/>
      <c r="H5" s="344">
        <v>1</v>
      </c>
      <c r="I5" s="345" t="s">
        <v>1594</v>
      </c>
      <c r="J5" s="1292">
        <f ca="1">J6+J10+J12</f>
        <v>0</v>
      </c>
      <c r="K5" s="1821" t="s">
        <v>1595</v>
      </c>
      <c r="L5" s="1293"/>
      <c r="M5" s="1294"/>
    </row>
    <row r="6" spans="1:37" ht="18" customHeight="1">
      <c r="A6" s="1291" t="s">
        <v>1031</v>
      </c>
      <c r="B6" s="3215" t="s">
        <v>1397</v>
      </c>
      <c r="C6" s="1296">
        <f ca="1">ROUND(F6*F8*F7*(1-F9),0)</f>
        <v>0</v>
      </c>
      <c r="D6" s="164" t="s">
        <v>3023</v>
      </c>
      <c r="E6" s="347" t="s">
        <v>1399</v>
      </c>
      <c r="F6" s="348">
        <f ca="1">INDIRECT("'数据-取费表'!u"&amp;$G$1)</f>
        <v>0</v>
      </c>
      <c r="G6" s="1850"/>
      <c r="H6" s="1291" t="s">
        <v>1031</v>
      </c>
      <c r="I6" s="3215" t="s">
        <v>1397</v>
      </c>
      <c r="J6" s="346">
        <f ca="1">ROUND(M6*M8*M7*(1-M9),0)</f>
        <v>0</v>
      </c>
      <c r="K6" s="1833" t="s">
        <v>3024</v>
      </c>
      <c r="L6" s="347" t="s">
        <v>1399</v>
      </c>
      <c r="M6" s="348">
        <f ca="1">INDIRECT("'数据-取费表'!z"&amp;$G$1)</f>
        <v>0</v>
      </c>
    </row>
    <row r="7" spans="1:37" ht="18" customHeight="1">
      <c r="A7" s="1295"/>
      <c r="B7" s="3216"/>
      <c r="C7" s="1297"/>
      <c r="D7" s="352"/>
      <c r="E7" s="1298" t="s">
        <v>1400</v>
      </c>
      <c r="F7" s="348">
        <f ca="1">IF(INDIRECT("'数据-取费表'!ah"&amp;$G$1)="",INDIRECT("'数据-取费表'!k"&amp;$G$1),INDIRECT("'数据-取费表'!ah"&amp;$G$1))</f>
        <v>0</v>
      </c>
      <c r="G7" s="1850"/>
      <c r="H7" s="349"/>
      <c r="I7" s="3216"/>
      <c r="J7" s="351"/>
      <c r="K7" s="352"/>
      <c r="L7" s="347" t="s">
        <v>1400</v>
      </c>
      <c r="M7" s="348">
        <f ca="1">F7</f>
        <v>0</v>
      </c>
    </row>
    <row r="8" spans="1:37" ht="18" customHeight="1">
      <c r="A8" s="349"/>
      <c r="B8" s="3216"/>
      <c r="C8" s="351"/>
      <c r="D8" s="352"/>
      <c r="E8" s="347" t="s">
        <v>1401</v>
      </c>
      <c r="F8" s="348">
        <f ca="1">INDIRECT("'数据-取费表'!ai"&amp;$G$1)</f>
        <v>0</v>
      </c>
      <c r="G8" s="1850"/>
      <c r="H8" s="349"/>
      <c r="I8" s="3216"/>
      <c r="J8" s="351"/>
      <c r="K8" s="352"/>
      <c r="L8" s="347" t="s">
        <v>1401</v>
      </c>
      <c r="M8" s="348">
        <f ca="1">INDIRECT("'数据-取费表'!ai"&amp;$G$1)</f>
        <v>0</v>
      </c>
    </row>
    <row r="9" spans="1:37" ht="18" customHeight="1">
      <c r="A9" s="349"/>
      <c r="B9" s="3217"/>
      <c r="C9" s="351"/>
      <c r="D9" s="352"/>
      <c r="E9" s="347" t="s">
        <v>1402</v>
      </c>
      <c r="F9" s="357">
        <f ca="1">INDIRECT("'数据-取费表'!w"&amp;$G$1)</f>
        <v>0</v>
      </c>
      <c r="G9" s="1850"/>
      <c r="H9" s="349"/>
      <c r="I9" s="3217"/>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3034</v>
      </c>
      <c r="E10" s="358" t="s">
        <v>1404</v>
      </c>
      <c r="F10" s="1366"/>
      <c r="G10" s="1850"/>
      <c r="H10" s="1291" t="s">
        <v>1035</v>
      </c>
      <c r="I10" s="1822" t="s">
        <v>1403</v>
      </c>
      <c r="J10" s="346">
        <f ca="1">ROUND(IF(M10="押一",J6/12*M11,IF(M10="押二",J6/12*2*M11,IF(M10="押三",J6/12*3*M11,J11*M11))),0)</f>
        <v>0</v>
      </c>
      <c r="K10" s="1834" t="s">
        <v>3036</v>
      </c>
      <c r="L10" s="358" t="s">
        <v>1404</v>
      </c>
      <c r="M10" s="1366"/>
    </row>
    <row r="11" spans="1:37" ht="18" customHeight="1">
      <c r="A11" s="353"/>
      <c r="B11" s="1824" t="s">
        <v>1596</v>
      </c>
      <c r="C11" s="1178"/>
      <c r="D11" s="352"/>
      <c r="E11" s="358" t="s">
        <v>1406</v>
      </c>
      <c r="F11" s="359">
        <f ca="1">'数据-取费表'!B39</f>
        <v>1.4999999999999999E-2</v>
      </c>
      <c r="G11" s="1850"/>
      <c r="H11" s="1299"/>
      <c r="I11" s="1824" t="s">
        <v>1597</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0"/>
      <c r="H13" s="1329">
        <v>2</v>
      </c>
      <c r="I13" s="1330" t="s">
        <v>1408</v>
      </c>
      <c r="J13" s="1290">
        <f ca="1">ROUND(J14*J15,0)</f>
        <v>0</v>
      </c>
      <c r="K13" s="1337" t="s">
        <v>1409</v>
      </c>
      <c r="L13" s="1851"/>
      <c r="M13" s="1852"/>
    </row>
    <row r="14" spans="1:37" ht="18" customHeight="1">
      <c r="A14" s="1201" t="s">
        <v>1030</v>
      </c>
      <c r="B14" s="347" t="s">
        <v>1411</v>
      </c>
      <c r="C14" s="363">
        <f ca="1">ROUND(INDIRECT("'数据-取费表'!l"&amp;$G$1)*F43+'数据-取费表'!L14*INDIRECT("'数据-取费表'!S"&amp;$G$1),0)</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0.04</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9" t="s">
        <v>1026</v>
      </c>
      <c r="I16" s="1330" t="s">
        <v>1418</v>
      </c>
      <c r="J16" s="355">
        <f ca="1">ROUND(J17+J22+J23+J24,0)</f>
        <v>0</v>
      </c>
      <c r="K16" s="1337" t="s">
        <v>1419</v>
      </c>
      <c r="L16" s="1338"/>
      <c r="M16" s="1294"/>
    </row>
    <row r="17" spans="1:37" s="1857" customFormat="1" ht="18" customHeight="1">
      <c r="A17" s="1201" t="s">
        <v>1384</v>
      </c>
      <c r="B17" s="347" t="s">
        <v>1420</v>
      </c>
      <c r="C17" s="24">
        <f ca="1">ROUND(F17*(F43+INDIRECT("'数据-取费表'!S"&amp;$G$1)),0)</f>
        <v>0</v>
      </c>
      <c r="D17" s="347" t="s">
        <v>1421</v>
      </c>
      <c r="E17" s="347" t="s">
        <v>1422</v>
      </c>
      <c r="F17" s="26">
        <f>'数据-取费表'!B35</f>
        <v>200</v>
      </c>
      <c r="G17" s="1853"/>
      <c r="H17" s="1201" t="s">
        <v>1031</v>
      </c>
      <c r="I17" s="347" t="s">
        <v>1423</v>
      </c>
      <c r="J17" s="24">
        <f ca="1">ROUND(IF(项目基本情况!B11="自然人",J6*M17/(1+'数据-取费表'!C42),J18+J19+J20),0)</f>
        <v>0</v>
      </c>
      <c r="K17" s="1799" t="s">
        <v>1424</v>
      </c>
      <c r="L17" s="1797" t="s">
        <v>1425</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ROUND(M20*M21,0)</f>
        <v>0</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2.5</v>
      </c>
      <c r="G23" s="1853"/>
      <c r="H23" s="1201"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ROUND(J5*M24,0)</f>
        <v>0</v>
      </c>
      <c r="K24" s="1342" t="s">
        <v>1453</v>
      </c>
      <c r="L24" s="1340" t="s">
        <v>1449</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0</v>
      </c>
      <c r="D29" s="1342"/>
      <c r="E29" s="1340"/>
      <c r="F29" s="1343"/>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0</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ROUND(IF(项目基本情况!B11="自然人",C6*F31/(1+'数据-取费表'!C42),C32+C33+C34),0)</f>
        <v>0</v>
      </c>
      <c r="D31" s="1799" t="s">
        <v>1424</v>
      </c>
      <c r="E31" s="1797" t="s">
        <v>1475</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1030</v>
      </c>
      <c r="B32" s="347" t="s">
        <v>1427</v>
      </c>
      <c r="C32" s="24">
        <f ca="1">IF(项目基本情况!B11="自然人","——",ROUND(C6*F32/(1+'数据-取费表'!C42),0))</f>
        <v>0</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1" t="s">
        <v>1383</v>
      </c>
      <c r="B34" s="164" t="s">
        <v>1435</v>
      </c>
      <c r="C34" s="25">
        <f ca="1">IF(项目基本情况!B11="自然人","——",ROUND(F34*F35,))</f>
        <v>0</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0</v>
      </c>
      <c r="G35" s="1850"/>
      <c r="H35" s="745"/>
      <c r="I35" s="1859"/>
      <c r="J35" s="1860"/>
      <c r="K35" s="1861"/>
      <c r="L35" s="1858"/>
      <c r="M35" s="1858"/>
    </row>
    <row r="36" spans="1:18" ht="18" customHeight="1">
      <c r="A36" s="1352"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9" t="s">
        <v>1387</v>
      </c>
      <c r="B38" s="1340" t="s">
        <v>1433</v>
      </c>
      <c r="C38" s="1341">
        <f ca="1">ROUND(C5*F38,1)</f>
        <v>0</v>
      </c>
      <c r="D38" s="1342" t="s">
        <v>1453</v>
      </c>
      <c r="E38" s="1340" t="s">
        <v>1449</v>
      </c>
      <c r="F38" s="1336">
        <f ca="1">INDIRECT("'数据-取费表'!Am"&amp;$G$1)</f>
        <v>0</v>
      </c>
      <c r="G38" s="1850"/>
      <c r="H38" s="1858"/>
      <c r="I38" s="1859"/>
      <c r="J38" s="1860"/>
      <c r="K38" s="1864"/>
      <c r="L38" s="1858"/>
      <c r="M38" s="1858"/>
    </row>
    <row r="39" spans="1:18" ht="24.65" customHeight="1" thickTop="1">
      <c r="A39" s="1329" t="s">
        <v>1027</v>
      </c>
      <c r="B39" s="1344" t="s">
        <v>1477</v>
      </c>
      <c r="C39" s="355">
        <f ca="1">C5-C30</f>
        <v>0</v>
      </c>
      <c r="D39" s="1345" t="s">
        <v>1478</v>
      </c>
      <c r="E39" s="1346"/>
      <c r="F39" s="1347"/>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4"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197" t="s">
        <v>1392</v>
      </c>
      <c r="D47" s="1197" t="s">
        <v>1393</v>
      </c>
      <c r="E47" s="1279" t="s">
        <v>1394</v>
      </c>
      <c r="F47" s="1280"/>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43.5" thickBot="1">
      <c r="A48" s="1360" t="s">
        <v>1131</v>
      </c>
      <c r="B48" s="345" t="s">
        <v>1395</v>
      </c>
      <c r="C48" s="1816">
        <f ca="1">C49+C53+C55</f>
        <v>0</v>
      </c>
      <c r="D48" s="1362"/>
      <c r="E48" s="1363"/>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4">
        <f ca="1">ROUND(F49*F51*F50*(1-F52),0)</f>
        <v>0</v>
      </c>
      <c r="D49" s="1276" t="s">
        <v>1398</v>
      </c>
      <c r="E49" s="1829" t="s">
        <v>1485</v>
      </c>
      <c r="F49" s="1281"/>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199"/>
      <c r="D50" s="1172"/>
      <c r="E50" s="1277" t="s">
        <v>1400</v>
      </c>
      <c r="F50" s="1278">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-0.875</v>
      </c>
      <c r="R52" s="1885" t="s">
        <v>1540</v>
      </c>
    </row>
    <row r="53" spans="1:18" s="1841" customFormat="1" ht="30.75" customHeight="1" thickBot="1">
      <c r="A53" s="1361" t="s">
        <v>1133</v>
      </c>
      <c r="B53" s="369" t="s">
        <v>1403</v>
      </c>
      <c r="C53" s="361">
        <f ca="1">ROUND(IF(F53="押一",C49/12*F11,IF(F53="押二",C49/12*2*F11,IF(F53="押三",C49/12*3*F11,C54*F11))),0)</f>
        <v>0</v>
      </c>
      <c r="D53" s="1823" t="s">
        <v>3037</v>
      </c>
      <c r="E53" s="358" t="s">
        <v>1404</v>
      </c>
      <c r="F53" s="1366"/>
      <c r="I53" s="1904" t="s">
        <v>1541</v>
      </c>
      <c r="J53" s="2950">
        <f ca="1">IF(M47="住宅",IF(D1="——",MAX(J51,L48),MAX(J51,L48-'数据-取费表'!B24)),IF(D1="——",MIN(J51,L48),MIN(J51,L48-'数据-取费表'!B24)))</f>
        <v>-0.875</v>
      </c>
      <c r="K53" s="3213" t="s">
        <v>1542</v>
      </c>
      <c r="L53" s="3214"/>
      <c r="O53" s="1883" t="s">
        <v>1042</v>
      </c>
      <c r="P53" s="1884" t="s">
        <v>1543</v>
      </c>
      <c r="Q53" s="1885" t="e">
        <f ca="1">Q47+Q48</f>
        <v>#DIV/0!</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6.5" thickBot="1">
      <c r="A57" s="1916"/>
      <c r="B57" s="1169"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6.5" thickBot="1">
      <c r="A58" s="360" t="s">
        <v>1026</v>
      </c>
      <c r="B58" s="1177" t="s">
        <v>1418</v>
      </c>
      <c r="C58" s="361">
        <f ca="1">ROUND(C59+C64+C65+C66,0)</f>
        <v>0</v>
      </c>
      <c r="D58" s="1179" t="s">
        <v>1419</v>
      </c>
      <c r="E58" s="1180"/>
      <c r="F58" s="1181"/>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6.5"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 thickBot="1">
      <c r="A60" s="1201" t="s">
        <v>1030</v>
      </c>
      <c r="B60" s="1169" t="s">
        <v>1427</v>
      </c>
      <c r="C60" s="24">
        <f ca="1">IF(项目基本情况!B11="自然人","——",ROUND(C48*F60/(1+'数据-取费表'!C42),0))</f>
        <v>0</v>
      </c>
      <c r="D60" s="1183" t="s">
        <v>1428</v>
      </c>
      <c r="E60" s="1169"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IF(项目基本情况!B11="自然人","——",ROUND(F62*F63,0))</f>
        <v>0</v>
      </c>
      <c r="D62" s="1184" t="s">
        <v>1491</v>
      </c>
      <c r="E62" s="1169" t="s">
        <v>1492</v>
      </c>
      <c r="F62" s="371">
        <f t="shared" si="0"/>
        <v>15</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 thickBot="1">
      <c r="A66" s="1201" t="s">
        <v>1498</v>
      </c>
      <c r="B66" s="1169" t="s">
        <v>1433</v>
      </c>
      <c r="C66" s="24">
        <f ca="1">ROUND(C48*F66,0)</f>
        <v>0</v>
      </c>
      <c r="D66" s="1183" t="s">
        <v>1499</v>
      </c>
      <c r="E66" s="1169" t="s">
        <v>1416</v>
      </c>
      <c r="F66" s="357">
        <f t="shared" ca="1" si="0"/>
        <v>0</v>
      </c>
      <c r="O66" s="1883" t="s">
        <v>1037</v>
      </c>
      <c r="P66" s="1884" t="s">
        <v>1552</v>
      </c>
      <c r="Q66" s="1885" t="e">
        <f ca="1">L60</f>
        <v>#DIV/0!</v>
      </c>
      <c r="R66" s="1885" t="s">
        <v>1575</v>
      </c>
    </row>
    <row r="67" spans="1:18" s="1841" customFormat="1" ht="2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5">
        <f ca="1">F42</f>
        <v>0</v>
      </c>
      <c r="O70" s="1893" t="s">
        <v>1045</v>
      </c>
      <c r="P70" s="1932" t="s">
        <v>1579</v>
      </c>
      <c r="Q70" s="1885">
        <f ca="1">C13</f>
        <v>0</v>
      </c>
      <c r="R70" s="1885" t="s">
        <v>1523</v>
      </c>
    </row>
    <row r="71" spans="1:18" s="1841" customFormat="1" ht="13.5" thickBot="1">
      <c r="A71" s="1190" t="s">
        <v>1029</v>
      </c>
      <c r="B71" s="1191" t="s">
        <v>1481</v>
      </c>
      <c r="C71" s="382" t="e">
        <f ca="1">ROUND(C68/F71,0)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ht="13">
      <c r="B76" s="388" t="s">
        <v>1501</v>
      </c>
      <c r="C76" s="389">
        <f ca="1">INDIRECT("'数据-取费表'!j"&amp;$G$1)</f>
        <v>0</v>
      </c>
      <c r="I76" s="1841"/>
      <c r="J76" s="1841"/>
      <c r="K76" s="1867"/>
      <c r="L76" s="1841"/>
    </row>
    <row r="77" spans="1:18" ht="13.5">
      <c r="B77" s="390" t="s">
        <v>1502</v>
      </c>
      <c r="C77" s="391"/>
      <c r="I77" s="1841"/>
      <c r="J77" s="1841"/>
      <c r="K77" s="1867"/>
      <c r="L77" s="1841"/>
    </row>
    <row r="78" spans="1:18" ht="13.5">
      <c r="B78" s="314" t="s">
        <v>1503</v>
      </c>
      <c r="C78" s="392"/>
    </row>
    <row r="79" spans="1:18" ht="13">
      <c r="B79" s="386" t="s">
        <v>1504</v>
      </c>
      <c r="C79" s="318" t="e">
        <f ca="1">1-C80</f>
        <v>#DIV/0!</v>
      </c>
    </row>
    <row r="80" spans="1:18" ht="13">
      <c r="B80" s="386" t="s">
        <v>1505</v>
      </c>
      <c r="C80" s="318" t="e">
        <f ca="1">ROUND(C75/C39,3)</f>
        <v>#DIV/0!</v>
      </c>
    </row>
    <row r="81" spans="2:3" ht="13.5">
      <c r="B81" s="314" t="s">
        <v>1506</v>
      </c>
      <c r="C81" s="282"/>
    </row>
    <row r="82" spans="2:3" ht="13">
      <c r="B82" s="317" t="s">
        <v>1507</v>
      </c>
      <c r="C82" s="319" t="e">
        <f ca="1">1-C83</f>
        <v>#DIV/0!</v>
      </c>
    </row>
    <row r="83" spans="2:3" ht="1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F13"/>
  <sheetViews>
    <sheetView workbookViewId="0">
      <selection activeCell="F19" sqref="F19"/>
    </sheetView>
  </sheetViews>
  <sheetFormatPr defaultColWidth="9" defaultRowHeight="14"/>
  <cols>
    <col min="1" max="1" width="23.6328125" style="1943" customWidth="1"/>
    <col min="2" max="2" width="12" style="1943" customWidth="1"/>
    <col min="3" max="3" width="9" style="1943"/>
    <col min="4" max="4" width="14.08984375" style="1943" customWidth="1"/>
    <col min="5" max="5" width="9" style="1943"/>
    <col min="6" max="6" width="12.90625" style="1943" customWidth="1"/>
    <col min="7" max="16384" width="9" style="1943"/>
  </cols>
  <sheetData>
    <row r="1" spans="1:6" ht="21">
      <c r="A1" s="2561" t="s">
        <v>2520</v>
      </c>
      <c r="B1" s="2562"/>
      <c r="C1" s="2562"/>
      <c r="D1" s="2562"/>
      <c r="E1" s="2563"/>
    </row>
    <row r="2" spans="1:6" ht="15.5">
      <c r="A2" s="2564" t="s">
        <v>2324</v>
      </c>
      <c r="B2" s="2565">
        <f ca="1">SUMIF(B6:B13,"&lt;&gt;#ref!",B6:B13)</f>
        <v>43530</v>
      </c>
      <c r="C2" s="2566" t="s">
        <v>2513</v>
      </c>
      <c r="D2" s="2567" t="s">
        <v>2514</v>
      </c>
      <c r="E2" s="2568">
        <f>SUM(E6:E13)</f>
        <v>31045.550000000003</v>
      </c>
    </row>
    <row r="3" spans="1:6" ht="15.5">
      <c r="A3" s="2564" t="s">
        <v>1389</v>
      </c>
      <c r="B3" s="2565">
        <f ca="1">ROUND(B2*10000/E2,0)</f>
        <v>14021</v>
      </c>
      <c r="C3" s="2566" t="s">
        <v>2521</v>
      </c>
      <c r="D3" s="2569"/>
      <c r="E3" s="2570"/>
    </row>
    <row r="4" spans="1:6" ht="15.5">
      <c r="A4" s="2571"/>
      <c r="B4" s="2569"/>
      <c r="C4" s="2569"/>
      <c r="D4" s="2569"/>
      <c r="E4" s="2570"/>
    </row>
    <row r="5" spans="1:6">
      <c r="A5" s="2572" t="s">
        <v>2515</v>
      </c>
      <c r="B5" s="3218" t="s">
        <v>2516</v>
      </c>
      <c r="C5" s="3218"/>
      <c r="D5" s="2573"/>
      <c r="E5" s="2574" t="s">
        <v>2517</v>
      </c>
      <c r="F5" s="2575" t="s">
        <v>2518</v>
      </c>
    </row>
    <row r="6" spans="1:6">
      <c r="A6" s="2576">
        <f>'数据-取费表'!AN6</f>
        <v>0</v>
      </c>
      <c r="B6" s="2575" t="e">
        <f ca="1">IF(F6="是",'数据-取费表'!AO6,0)</f>
        <v>#REF!</v>
      </c>
      <c r="C6" s="2566" t="s">
        <v>2513</v>
      </c>
      <c r="D6" s="2569"/>
      <c r="E6" s="2577">
        <f>IF(OR(A6=0,F6="否"),0,'数据-取费表'!K6+'数据-取费表'!S6)</f>
        <v>0</v>
      </c>
      <c r="F6" s="2578" t="s">
        <v>2519</v>
      </c>
    </row>
    <row r="7" spans="1:6">
      <c r="A7" s="2576" t="str">
        <f>'数据-取费表'!AN7</f>
        <v>收益法 (商业)</v>
      </c>
      <c r="B7" s="2575">
        <f ca="1">IF(F7="是",'数据-取费表'!AO7,0)</f>
        <v>8264</v>
      </c>
      <c r="C7" s="2566" t="s">
        <v>2513</v>
      </c>
      <c r="D7" s="2569"/>
      <c r="E7" s="2577">
        <f>IF(OR(A7=0,F7="否"),0,'数据-取费表'!K7+'数据-取费表'!S7)</f>
        <v>7997.1</v>
      </c>
      <c r="F7" s="2578" t="s">
        <v>2519</v>
      </c>
    </row>
    <row r="8" spans="1:6">
      <c r="A8" s="2576">
        <f>'数据-取费表'!AN8</f>
        <v>0</v>
      </c>
      <c r="B8" s="2575" t="e">
        <f ca="1">IF(F8="是",'数据-取费表'!AO8,0)</f>
        <v>#REF!</v>
      </c>
      <c r="C8" s="2566" t="s">
        <v>2513</v>
      </c>
      <c r="D8" s="2569"/>
      <c r="E8" s="2577">
        <f>IF(OR(A8=0,F8="否"),0,'数据-取费表'!K8+'数据-取费表'!S8)</f>
        <v>0</v>
      </c>
      <c r="F8" s="2578" t="s">
        <v>2519</v>
      </c>
    </row>
    <row r="9" spans="1:6">
      <c r="A9" s="2576" t="str">
        <f>'数据-取费表'!AN9</f>
        <v>收益法</v>
      </c>
      <c r="B9" s="2575">
        <f ca="1">IF(F9="是",'数据-取费表'!AO9,0)</f>
        <v>35266</v>
      </c>
      <c r="C9" s="2566" t="s">
        <v>2513</v>
      </c>
      <c r="D9" s="2569"/>
      <c r="E9" s="2577">
        <f>IF(OR(A9=0,F9="否"),0,'数据-取费表'!K9+'数据-取费表'!S9)</f>
        <v>23048.45</v>
      </c>
      <c r="F9" s="2578" t="s">
        <v>2519</v>
      </c>
    </row>
    <row r="10" spans="1:6">
      <c r="A10" s="2576">
        <f>'数据-取费表'!AN10</f>
        <v>0</v>
      </c>
      <c r="B10" s="2575" t="e">
        <f ca="1">IF(F10="是",'数据-取费表'!AO10,0)</f>
        <v>#REF!</v>
      </c>
      <c r="C10" s="2566" t="s">
        <v>2513</v>
      </c>
      <c r="D10" s="2569"/>
      <c r="E10" s="2577">
        <f>IF(OR(A10=0,F10="否"),0,'数据-取费表'!K10+'数据-取费表'!S10)</f>
        <v>0</v>
      </c>
      <c r="F10" s="2578" t="s">
        <v>2519</v>
      </c>
    </row>
    <row r="11" spans="1:6">
      <c r="A11" s="2576">
        <f>'数据-取费表'!AN11</f>
        <v>0</v>
      </c>
      <c r="B11" s="2575" t="e">
        <f ca="1">IF(F11="是",'数据-取费表'!AO11,0)</f>
        <v>#REF!</v>
      </c>
      <c r="C11" s="2566" t="s">
        <v>2513</v>
      </c>
      <c r="D11" s="2569"/>
      <c r="E11" s="2577">
        <f>IF(OR(A11=0,F11="否"),0,'数据-取费表'!K11+'数据-取费表'!S11)</f>
        <v>0</v>
      </c>
      <c r="F11" s="2578" t="s">
        <v>2519</v>
      </c>
    </row>
    <row r="12" spans="1:6">
      <c r="A12" s="2576">
        <f>'数据-取费表'!AN12</f>
        <v>0</v>
      </c>
      <c r="B12" s="2575" t="e">
        <f ca="1">IF(F12="是",'数据-取费表'!AO12,0)</f>
        <v>#REF!</v>
      </c>
      <c r="C12" s="2566" t="s">
        <v>2513</v>
      </c>
      <c r="D12" s="2569"/>
      <c r="E12" s="2577">
        <f>IF(OR(A12=0,F12="否"),0,'数据-取费表'!K12+'数据-取费表'!S12)</f>
        <v>0</v>
      </c>
      <c r="F12" s="2578" t="s">
        <v>2519</v>
      </c>
    </row>
    <row r="13" spans="1:6" ht="14.5" thickBot="1">
      <c r="A13" s="2579">
        <f>'数据-取费表'!AN13</f>
        <v>0</v>
      </c>
      <c r="B13" s="2575" t="e">
        <f ca="1">IF(F13="是",'数据-取费表'!AO13,0)</f>
        <v>#REF!</v>
      </c>
      <c r="C13" s="2580" t="s">
        <v>2513</v>
      </c>
      <c r="D13" s="2581"/>
      <c r="E13" s="2577">
        <f>IF(OR(A13=0,F13="否"),0,'数据-取费表'!K13+'数据-取费表'!S13)</f>
        <v>0</v>
      </c>
      <c r="F13" s="2578"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700-000000000000}">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workbookViewId="0">
      <selection activeCell="B6" sqref="B6:C6"/>
    </sheetView>
  </sheetViews>
  <sheetFormatPr defaultRowHeight="14"/>
  <cols>
    <col min="1" max="1" width="10.453125" customWidth="1"/>
    <col min="2" max="2" width="12.90625" customWidth="1"/>
    <col min="3" max="3" width="8.81640625" customWidth="1"/>
  </cols>
  <sheetData>
    <row r="1" spans="1:9" ht="15">
      <c r="A1" s="3235" t="s">
        <v>1072</v>
      </c>
      <c r="B1" s="3236"/>
      <c r="C1" s="3237"/>
      <c r="D1" s="3238">
        <f>SUM(I10,I15,I20,I21,I23)</f>
        <v>0</v>
      </c>
      <c r="E1" s="3238"/>
      <c r="F1" s="3238"/>
      <c r="G1" s="3238"/>
      <c r="H1" s="3238"/>
      <c r="I1" s="3239"/>
    </row>
    <row r="2" spans="1:9">
      <c r="A2" s="3225" t="s">
        <v>1073</v>
      </c>
      <c r="B2" s="3226" t="s">
        <v>1074</v>
      </c>
      <c r="C2" s="3226"/>
      <c r="D2" s="1301" t="s">
        <v>1075</v>
      </c>
      <c r="E2" s="1301" t="s">
        <v>1076</v>
      </c>
      <c r="F2" s="1301" t="s">
        <v>1077</v>
      </c>
      <c r="G2" s="1301" t="s">
        <v>1078</v>
      </c>
      <c r="H2" s="1301" t="s">
        <v>1079</v>
      </c>
      <c r="I2" s="1302" t="s">
        <v>1080</v>
      </c>
    </row>
    <row r="3" spans="1:9">
      <c r="A3" s="3225"/>
      <c r="B3" s="3226" t="s">
        <v>1081</v>
      </c>
      <c r="C3" s="3226"/>
      <c r="D3" s="1303"/>
      <c r="E3" s="1301"/>
      <c r="F3" s="1304"/>
      <c r="G3" s="1304"/>
      <c r="H3" s="1305"/>
      <c r="I3" s="1306">
        <f>ROUND(D3*E3*F3*G3*H3/10000,0)</f>
        <v>0</v>
      </c>
    </row>
    <row r="4" spans="1:9">
      <c r="A4" s="3225"/>
      <c r="B4" s="3226" t="s">
        <v>1082</v>
      </c>
      <c r="C4" s="3226"/>
      <c r="D4" s="1303"/>
      <c r="E4" s="1301"/>
      <c r="F4" s="1304"/>
      <c r="G4" s="1304"/>
      <c r="H4" s="1305"/>
      <c r="I4" s="1306">
        <f t="shared" ref="I4:I9" si="0">ROUND(D4*E4*F4*G4*H4/10000,0)</f>
        <v>0</v>
      </c>
    </row>
    <row r="5" spans="1:9">
      <c r="A5" s="3225"/>
      <c r="B5" s="3226" t="s">
        <v>1083</v>
      </c>
      <c r="C5" s="3226"/>
      <c r="D5" s="1303"/>
      <c r="E5" s="1301"/>
      <c r="F5" s="1304"/>
      <c r="G5" s="1304"/>
      <c r="H5" s="1305"/>
      <c r="I5" s="1306">
        <f t="shared" si="0"/>
        <v>0</v>
      </c>
    </row>
    <row r="6" spans="1:9">
      <c r="A6" s="3225"/>
      <c r="B6" s="3226" t="s">
        <v>1084</v>
      </c>
      <c r="C6" s="3226"/>
      <c r="D6" s="1303"/>
      <c r="E6" s="1301"/>
      <c r="F6" s="1304"/>
      <c r="G6" s="1304"/>
      <c r="H6" s="1305"/>
      <c r="I6" s="1306">
        <f t="shared" si="0"/>
        <v>0</v>
      </c>
    </row>
    <row r="7" spans="1:9">
      <c r="A7" s="3225"/>
      <c r="B7" s="3226" t="s">
        <v>1085</v>
      </c>
      <c r="C7" s="3226"/>
      <c r="D7" s="1303"/>
      <c r="E7" s="1301"/>
      <c r="F7" s="1304"/>
      <c r="G7" s="1304"/>
      <c r="H7" s="1305"/>
      <c r="I7" s="1306">
        <f t="shared" si="0"/>
        <v>0</v>
      </c>
    </row>
    <row r="8" spans="1:9">
      <c r="A8" s="3225"/>
      <c r="B8" s="3226" t="s">
        <v>1086</v>
      </c>
      <c r="C8" s="3226"/>
      <c r="D8" s="1303"/>
      <c r="E8" s="1301"/>
      <c r="F8" s="1304"/>
      <c r="G8" s="1304"/>
      <c r="H8" s="1305"/>
      <c r="I8" s="1306">
        <f t="shared" si="0"/>
        <v>0</v>
      </c>
    </row>
    <row r="9" spans="1:9">
      <c r="A9" s="3225"/>
      <c r="B9" s="3226" t="s">
        <v>1087</v>
      </c>
      <c r="C9" s="3226"/>
      <c r="D9" s="1303"/>
      <c r="E9" s="1301"/>
      <c r="F9" s="1304"/>
      <c r="G9" s="1304"/>
      <c r="H9" s="1305"/>
      <c r="I9" s="1306">
        <f t="shared" si="0"/>
        <v>0</v>
      </c>
    </row>
    <row r="10" spans="1:9">
      <c r="A10" s="3225"/>
      <c r="B10" s="3227" t="s">
        <v>1088</v>
      </c>
      <c r="C10" s="3227"/>
      <c r="D10" s="1307"/>
      <c r="E10" s="1307" t="e">
        <f>ROUND(D1*10000/D10/H9,0)</f>
        <v>#DIV/0!</v>
      </c>
      <c r="F10" s="1308"/>
      <c r="G10" s="1308"/>
      <c r="H10" s="1309"/>
      <c r="I10" s="1310">
        <f>SUM(I3:I9)</f>
        <v>0</v>
      </c>
    </row>
    <row r="11" spans="1:9" ht="15">
      <c r="A11" s="3225" t="s">
        <v>1089</v>
      </c>
      <c r="B11" s="3226" t="s">
        <v>1090</v>
      </c>
      <c r="C11" s="3226"/>
      <c r="D11" s="1303" t="s">
        <v>1091</v>
      </c>
      <c r="E11" s="1303" t="s">
        <v>1092</v>
      </c>
      <c r="F11" s="1304" t="s">
        <v>1093</v>
      </c>
      <c r="G11" s="1304" t="s">
        <v>1079</v>
      </c>
      <c r="H11" s="1311" t="s">
        <v>1094</v>
      </c>
      <c r="I11" s="1302" t="s">
        <v>1080</v>
      </c>
    </row>
    <row r="12" spans="1:9">
      <c r="A12" s="3225"/>
      <c r="B12" s="3226" t="s">
        <v>1095</v>
      </c>
      <c r="C12" s="3226"/>
      <c r="D12" s="1303"/>
      <c r="E12" s="1303"/>
      <c r="F12" s="1304"/>
      <c r="G12" s="1305"/>
      <c r="H12" s="1312"/>
      <c r="I12" s="1302">
        <f>ROUND(D12*E12*F12*G12/10000,0)</f>
        <v>0</v>
      </c>
    </row>
    <row r="13" spans="1:9">
      <c r="A13" s="3225"/>
      <c r="B13" s="3226" t="s">
        <v>1096</v>
      </c>
      <c r="C13" s="3226"/>
      <c r="D13" s="1303"/>
      <c r="E13" s="1303"/>
      <c r="F13" s="1304"/>
      <c r="G13" s="1305"/>
      <c r="H13" s="1312"/>
      <c r="I13" s="1302">
        <f>ROUND(D13*E13*F13*G13/10000,0)</f>
        <v>0</v>
      </c>
    </row>
    <row r="14" spans="1:9">
      <c r="A14" s="3225"/>
      <c r="B14" s="3226" t="s">
        <v>1097</v>
      </c>
      <c r="C14" s="3226"/>
      <c r="D14" s="1303"/>
      <c r="E14" s="1303"/>
      <c r="F14" s="1304"/>
      <c r="G14" s="1305"/>
      <c r="H14" s="1312"/>
      <c r="I14" s="1302">
        <f>ROUND(D14*E14*F14*G14/10000,0)</f>
        <v>0</v>
      </c>
    </row>
    <row r="15" spans="1:9">
      <c r="A15" s="3225"/>
      <c r="B15" s="3227" t="s">
        <v>1088</v>
      </c>
      <c r="C15" s="3227"/>
      <c r="D15" s="1307"/>
      <c r="E15" s="1307">
        <f>SUM(E12:E14)</f>
        <v>0</v>
      </c>
      <c r="F15" s="1308"/>
      <c r="G15" s="1305"/>
      <c r="H15" s="1312"/>
      <c r="I15" s="1313">
        <f>SUM(I12:I14)</f>
        <v>0</v>
      </c>
    </row>
    <row r="16" spans="1:9" ht="26">
      <c r="A16" s="3225" t="s">
        <v>1098</v>
      </c>
      <c r="B16" s="3226" t="s">
        <v>1099</v>
      </c>
      <c r="C16" s="3226"/>
      <c r="D16" s="1303" t="s">
        <v>1075</v>
      </c>
      <c r="E16" s="1314" t="s">
        <v>1100</v>
      </c>
      <c r="F16" s="1304" t="s">
        <v>1101</v>
      </c>
      <c r="G16" s="1305" t="s">
        <v>1079</v>
      </c>
      <c r="H16" s="1311" t="s">
        <v>1094</v>
      </c>
      <c r="I16" s="1302" t="s">
        <v>1080</v>
      </c>
    </row>
    <row r="17" spans="1:9" ht="15">
      <c r="A17" s="3225"/>
      <c r="B17" s="3226" t="s">
        <v>1102</v>
      </c>
      <c r="C17" s="3226"/>
      <c r="D17" s="1303"/>
      <c r="E17" s="1303"/>
      <c r="F17" s="1304"/>
      <c r="G17" s="1305"/>
      <c r="H17" s="1315"/>
      <c r="I17" s="1316">
        <f>ROUND(D17*E17*F17*G17/10000,0)</f>
        <v>0</v>
      </c>
    </row>
    <row r="18" spans="1:9" ht="15">
      <c r="A18" s="3225"/>
      <c r="B18" s="3226" t="s">
        <v>1103</v>
      </c>
      <c r="C18" s="3226"/>
      <c r="D18" s="1303"/>
      <c r="E18" s="1303"/>
      <c r="F18" s="1304"/>
      <c r="G18" s="1305"/>
      <c r="H18" s="1315"/>
      <c r="I18" s="1316">
        <f>ROUND(D18*E18*F18*G18/10000,0)</f>
        <v>0</v>
      </c>
    </row>
    <row r="19" spans="1:9" ht="15">
      <c r="A19" s="3225"/>
      <c r="B19" s="3226" t="s">
        <v>1104</v>
      </c>
      <c r="C19" s="3226"/>
      <c r="D19" s="1303"/>
      <c r="E19" s="1303"/>
      <c r="F19" s="1304"/>
      <c r="G19" s="1305"/>
      <c r="H19" s="1315"/>
      <c r="I19" s="1316">
        <f>ROUND(D19*E19*F19*G19/10000,0)</f>
        <v>0</v>
      </c>
    </row>
    <row r="20" spans="1:9">
      <c r="A20" s="3225"/>
      <c r="B20" s="3227" t="s">
        <v>1088</v>
      </c>
      <c r="C20" s="3227"/>
      <c r="D20" s="1307">
        <f>SUM(D17:D19)</f>
        <v>0</v>
      </c>
      <c r="E20" s="1307"/>
      <c r="F20" s="1308"/>
      <c r="G20" s="1305"/>
      <c r="H20" s="1312"/>
      <c r="I20" s="1313">
        <f>SUM(I17:I19)</f>
        <v>0</v>
      </c>
    </row>
    <row r="21" spans="1:9">
      <c r="A21" s="3225" t="s">
        <v>1105</v>
      </c>
      <c r="B21" s="3228"/>
      <c r="C21" s="3228"/>
      <c r="D21" s="3228"/>
      <c r="E21" s="3228"/>
      <c r="F21" s="3228"/>
      <c r="G21" s="3228"/>
      <c r="H21" s="1764">
        <v>0.1</v>
      </c>
      <c r="I21" s="1310">
        <f>ROUND(I10*H21,0)</f>
        <v>0</v>
      </c>
    </row>
    <row r="22" spans="1:9" ht="15">
      <c r="A22" s="3229" t="s">
        <v>1106</v>
      </c>
      <c r="B22" s="3230"/>
      <c r="C22" s="3231"/>
      <c r="D22" s="1317" t="s">
        <v>1107</v>
      </c>
      <c r="E22" s="1317" t="s">
        <v>1108</v>
      </c>
      <c r="F22" s="1318" t="s">
        <v>1109</v>
      </c>
      <c r="G22" s="1318" t="s">
        <v>1110</v>
      </c>
      <c r="H22" s="1311" t="s">
        <v>1111</v>
      </c>
      <c r="I22" s="1302" t="s">
        <v>1112</v>
      </c>
    </row>
    <row r="23" spans="1:9" ht="14.5" thickBot="1">
      <c r="A23" s="3232"/>
      <c r="B23" s="3233"/>
      <c r="C23" s="3234"/>
      <c r="D23" s="1319"/>
      <c r="E23" s="1319"/>
      <c r="F23" s="1319"/>
      <c r="G23" s="1320"/>
      <c r="H23" s="1321"/>
      <c r="I23" s="1322">
        <f>ROUND(E23*D23*F23*(1-G23)/10000,0)</f>
        <v>0</v>
      </c>
    </row>
    <row r="26" spans="1:9">
      <c r="A26" s="1323" t="s">
        <v>1113</v>
      </c>
      <c r="B26" s="1323"/>
      <c r="C26" s="1323"/>
      <c r="D26" s="1323"/>
      <c r="E26" s="3222">
        <f>C27-C30-C31-C32</f>
        <v>0</v>
      </c>
      <c r="F26" s="3222"/>
      <c r="G26" s="3222"/>
      <c r="H26" s="1736" t="s">
        <v>1335</v>
      </c>
    </row>
    <row r="27" spans="1:9">
      <c r="A27" s="1324">
        <v>1</v>
      </c>
      <c r="B27" s="1325" t="s">
        <v>1114</v>
      </c>
      <c r="C27" s="1325">
        <f>C28+C29</f>
        <v>0</v>
      </c>
      <c r="D27" s="1325"/>
      <c r="E27" s="3223"/>
      <c r="F27" s="3223"/>
      <c r="G27" s="3223"/>
    </row>
    <row r="28" spans="1:9">
      <c r="A28" s="1326" t="s">
        <v>1115</v>
      </c>
      <c r="B28" s="1325" t="s">
        <v>1116</v>
      </c>
      <c r="C28" s="1325"/>
      <c r="D28" s="1325"/>
      <c r="E28" s="3223"/>
      <c r="F28" s="3223"/>
      <c r="G28" s="322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24"/>
      <c r="F32" s="3224"/>
      <c r="G32" s="3224"/>
    </row>
    <row r="33" spans="1:7" hidden="1">
      <c r="A33" s="3219" t="s">
        <v>1125</v>
      </c>
      <c r="B33" s="3220"/>
      <c r="C33" s="3220"/>
      <c r="D33" s="3221"/>
      <c r="E33" s="3222"/>
      <c r="F33" s="3222"/>
      <c r="G33" s="3222"/>
    </row>
    <row r="34" spans="1:7" hidden="1">
      <c r="A34" s="1328">
        <v>1</v>
      </c>
      <c r="B34" s="1325" t="s">
        <v>1126</v>
      </c>
      <c r="C34" s="1325"/>
      <c r="D34" s="1325"/>
      <c r="E34" s="3223"/>
      <c r="F34" s="3223"/>
      <c r="G34" s="3223"/>
    </row>
    <row r="35" spans="1:7" hidden="1">
      <c r="A35" s="1328">
        <v>2</v>
      </c>
      <c r="B35" s="1325" t="s">
        <v>1127</v>
      </c>
      <c r="C35" s="1325"/>
      <c r="D35" s="1325"/>
      <c r="E35" s="3223"/>
      <c r="F35" s="3223"/>
      <c r="G35" s="3223"/>
    </row>
    <row r="36" spans="1:7" hidden="1">
      <c r="A36" s="1328">
        <v>3</v>
      </c>
      <c r="B36" s="1325" t="s">
        <v>1128</v>
      </c>
      <c r="C36" s="1325"/>
      <c r="D36" s="1325"/>
      <c r="E36" s="3223"/>
      <c r="F36" s="3223"/>
      <c r="G36" s="3223"/>
    </row>
    <row r="37" spans="1:7" hidden="1">
      <c r="A37" s="1328">
        <v>4</v>
      </c>
      <c r="B37" s="1325" t="s">
        <v>1129</v>
      </c>
      <c r="C37" s="1325"/>
      <c r="D37" s="1325"/>
      <c r="E37" s="3223"/>
      <c r="F37" s="3223"/>
      <c r="G37" s="3223"/>
    </row>
    <row r="38" spans="1:7" hidden="1">
      <c r="A38" s="3219" t="s">
        <v>1130</v>
      </c>
      <c r="B38" s="3220"/>
      <c r="C38" s="3220"/>
      <c r="D38" s="3221"/>
      <c r="E38" s="3222"/>
      <c r="F38" s="3222"/>
      <c r="G38" s="32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0F485-9E76-48CA-ADED-BE2E8B97CBF7}">
  <sheetPr>
    <tabColor rgb="FF92D050"/>
  </sheetPr>
  <dimension ref="A1:AK83"/>
  <sheetViews>
    <sheetView zoomScale="70" zoomScaleNormal="70" zoomScaleSheetLayoutView="90" workbookViewId="0">
      <selection activeCell="D1" sqref="D1"/>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81640625" style="302" customWidth="1"/>
    <col min="6" max="6" width="10.6328125" style="302" customWidth="1"/>
    <col min="7" max="7" width="4.90625" style="302" customWidth="1"/>
    <col min="8" max="8" width="8.453125" style="302" customWidth="1"/>
    <col min="9" max="9" width="21.1796875" style="302" customWidth="1"/>
    <col min="10" max="10" width="12.1796875" style="302" customWidth="1"/>
    <col min="11" max="11" width="45.08984375" style="1933" customWidth="1"/>
    <col min="12" max="12" width="16.36328125" style="302" customWidth="1"/>
    <col min="13" max="13" width="13" style="302" customWidth="1"/>
    <col min="14" max="14" width="13.81640625" style="1841" customWidth="1"/>
    <col min="15" max="15" width="5.08984375" style="1841" customWidth="1"/>
    <col min="16" max="16" width="25.81640625" style="1841" customWidth="1"/>
    <col min="17" max="17" width="13.81640625" style="1841" customWidth="1"/>
    <col min="18" max="18" width="20.453125" style="1841" customWidth="1"/>
    <col min="19" max="19" width="13.1796875" style="1841" customWidth="1"/>
    <col min="20" max="37" width="9" style="1841"/>
    <col min="38" max="16384" width="9" style="302"/>
  </cols>
  <sheetData>
    <row r="1" spans="1:37" s="337" customFormat="1" ht="21">
      <c r="A1" s="1832" t="s">
        <v>1583</v>
      </c>
      <c r="B1" s="782"/>
      <c r="C1" s="1836" t="s">
        <v>1372</v>
      </c>
      <c r="D1" s="1819" t="s">
        <v>4718</v>
      </c>
      <c r="E1" s="1820" t="s">
        <v>1381</v>
      </c>
      <c r="F1" s="1283">
        <f ca="1">J53</f>
        <v>22.745000000000001</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8264</v>
      </c>
      <c r="C2" s="1844" t="s">
        <v>1510</v>
      </c>
      <c r="D2" s="1844"/>
      <c r="E2" s="1845"/>
      <c r="F2" s="1846"/>
      <c r="G2" s="1847"/>
      <c r="H2" s="1839"/>
      <c r="I2" s="1839"/>
      <c r="J2" s="1839"/>
      <c r="K2" s="1840"/>
      <c r="L2" s="1839"/>
      <c r="M2" s="1839"/>
    </row>
    <row r="3" spans="1:37" ht="18" customHeight="1" thickBot="1">
      <c r="A3" s="1848" t="s">
        <v>1511</v>
      </c>
      <c r="B3" s="1849">
        <f ca="1">IF(ISERROR(B2*10000/F43),0,ROUND(B2*10000/F43,0))</f>
        <v>10334</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697</v>
      </c>
      <c r="D5" s="1821" t="s">
        <v>1396</v>
      </c>
      <c r="E5" s="1293"/>
      <c r="F5" s="1294"/>
      <c r="G5" s="1850"/>
      <c r="H5" s="344">
        <v>1</v>
      </c>
      <c r="I5" s="345" t="s">
        <v>1395</v>
      </c>
      <c r="J5" s="1292">
        <f ca="1">J6+J10+J12</f>
        <v>0</v>
      </c>
      <c r="K5" s="1821" t="s">
        <v>1396</v>
      </c>
      <c r="L5" s="1293"/>
      <c r="M5" s="1294"/>
    </row>
    <row r="6" spans="1:37" ht="18" customHeight="1">
      <c r="A6" s="1291" t="s">
        <v>1031</v>
      </c>
      <c r="B6" s="3215" t="s">
        <v>1397</v>
      </c>
      <c r="C6" s="1296">
        <f ca="1">ROUND(F6*F8*F7*(1-F9)/10000,0)</f>
        <v>696</v>
      </c>
      <c r="D6" s="164" t="s">
        <v>3026</v>
      </c>
      <c r="E6" s="347" t="s">
        <v>1399</v>
      </c>
      <c r="F6" s="348">
        <f ca="1">INDIRECT("'数据-取费表'!u"&amp;$G$1)</f>
        <v>2.65</v>
      </c>
      <c r="G6" s="1850"/>
      <c r="H6" s="1291" t="s">
        <v>1031</v>
      </c>
      <c r="I6" s="3215" t="s">
        <v>1397</v>
      </c>
      <c r="J6" s="346">
        <f ca="1">ROUND(M6*M8*M7*(1-M9)/10000,0)</f>
        <v>0</v>
      </c>
      <c r="K6" s="164" t="s">
        <v>3025</v>
      </c>
      <c r="L6" s="347" t="s">
        <v>1399</v>
      </c>
      <c r="M6" s="348">
        <f ca="1">INDIRECT("'数据-取费表'!z"&amp;$G$1)</f>
        <v>0</v>
      </c>
    </row>
    <row r="7" spans="1:37" ht="18" customHeight="1">
      <c r="A7" s="1295"/>
      <c r="B7" s="3216"/>
      <c r="C7" s="1297"/>
      <c r="D7" s="352"/>
      <c r="E7" s="2973" t="s">
        <v>1400</v>
      </c>
      <c r="F7" s="348">
        <f ca="1">IF(INDIRECT("'数据-取费表'!ah"&amp;$G$1)="",INDIRECT("'数据-取费表'!k"&amp;$G$1),INDIRECT("'数据-取费表'!ah"&amp;$G$1))</f>
        <v>7997.1</v>
      </c>
      <c r="G7" s="1850"/>
      <c r="H7" s="349"/>
      <c r="I7" s="3216"/>
      <c r="J7" s="351"/>
      <c r="K7" s="352"/>
      <c r="L7" s="347" t="s">
        <v>1400</v>
      </c>
      <c r="M7" s="348">
        <f ca="1">F7</f>
        <v>7997.1</v>
      </c>
    </row>
    <row r="8" spans="1:37" ht="18" customHeight="1">
      <c r="A8" s="349"/>
      <c r="B8" s="3216"/>
      <c r="C8" s="351"/>
      <c r="D8" s="352"/>
      <c r="E8" s="347" t="s">
        <v>1401</v>
      </c>
      <c r="F8" s="348">
        <f ca="1">INDIRECT("'数据-取费表'!ai"&amp;$G$1)</f>
        <v>365</v>
      </c>
      <c r="G8" s="1850"/>
      <c r="H8" s="349"/>
      <c r="I8" s="3216"/>
      <c r="J8" s="351"/>
      <c r="K8" s="352"/>
      <c r="L8" s="347" t="s">
        <v>1401</v>
      </c>
      <c r="M8" s="348">
        <f ca="1">INDIRECT("'数据-取费表'!ai"&amp;$G$1)</f>
        <v>365</v>
      </c>
    </row>
    <row r="9" spans="1:37" ht="18" customHeight="1">
      <c r="A9" s="349"/>
      <c r="B9" s="3217"/>
      <c r="C9" s="351"/>
      <c r="D9" s="352"/>
      <c r="E9" s="347" t="s">
        <v>1402</v>
      </c>
      <c r="F9" s="357">
        <f ca="1">INDIRECT("'数据-取费表'!w"&amp;$G$1)</f>
        <v>0.1</v>
      </c>
      <c r="G9" s="1850"/>
      <c r="H9" s="349"/>
      <c r="I9" s="3217"/>
      <c r="J9" s="351"/>
      <c r="K9" s="352"/>
      <c r="L9" s="358" t="s">
        <v>1402</v>
      </c>
      <c r="M9" s="359">
        <f ca="1">INDIRECT("'数据-取费表'!ab"&amp;$G$1)</f>
        <v>0</v>
      </c>
    </row>
    <row r="10" spans="1:37" ht="18" customHeight="1">
      <c r="A10" s="1291" t="s">
        <v>1035</v>
      </c>
      <c r="B10" s="1822" t="s">
        <v>1403</v>
      </c>
      <c r="C10" s="361">
        <f ca="1">ROUND(IF(F10="押一",C6/12*F11,IF(F10="押二",C6/12*2*F11,IF(F10="押三",C6/12*3*F11,C11*F11))),0)</f>
        <v>1</v>
      </c>
      <c r="D10" s="1823" t="s">
        <v>3034</v>
      </c>
      <c r="E10" s="358" t="s">
        <v>1404</v>
      </c>
      <c r="F10" s="1366" t="s">
        <v>4719</v>
      </c>
      <c r="G10" s="1850"/>
      <c r="H10" s="1291" t="s">
        <v>1035</v>
      </c>
      <c r="I10" s="1822" t="s">
        <v>1403</v>
      </c>
      <c r="J10" s="346">
        <f ca="1">ROUND(IF(M10="押一",J6/12*M11,IF(M10="押二",J6/12*2*M11,IF(M10="押三",J6/12*3*M11,J11*M11))),0)</f>
        <v>0</v>
      </c>
      <c r="K10" s="1823" t="s">
        <v>3034</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4341</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2799</v>
      </c>
      <c r="D14" s="2967" t="s">
        <v>1412</v>
      </c>
      <c r="E14" s="2965"/>
      <c r="F14" s="364"/>
      <c r="G14" s="1850"/>
      <c r="H14" s="1201" t="s">
        <v>1031</v>
      </c>
      <c r="I14" s="347" t="s">
        <v>1413</v>
      </c>
      <c r="J14" s="24">
        <f ca="1">C29</f>
        <v>4341</v>
      </c>
      <c r="K14" s="2972"/>
      <c r="L14" s="979"/>
      <c r="M14" s="980"/>
    </row>
    <row r="15" spans="1:37" s="1857" customFormat="1" ht="18" customHeight="1" thickBot="1">
      <c r="A15" s="1201" t="s">
        <v>1032</v>
      </c>
      <c r="B15" s="347" t="s">
        <v>1414</v>
      </c>
      <c r="C15" s="24">
        <f ca="1">ROUND(C14*F15,0)</f>
        <v>112</v>
      </c>
      <c r="D15" s="365" t="s">
        <v>1415</v>
      </c>
      <c r="E15" s="365" t="s">
        <v>1416</v>
      </c>
      <c r="F15" s="366">
        <f>'数据-取费表'!B33</f>
        <v>0.04</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83</v>
      </c>
      <c r="K16" s="1337" t="s">
        <v>1419</v>
      </c>
      <c r="L16" s="2968"/>
      <c r="M16" s="1294"/>
    </row>
    <row r="17" spans="1:37" s="1857" customFormat="1" ht="18" customHeight="1">
      <c r="A17" s="1201" t="s">
        <v>1384</v>
      </c>
      <c r="B17" s="347" t="s">
        <v>1420</v>
      </c>
      <c r="C17" s="24">
        <f ca="1">ROUND(F17*(F43+INDIRECT("'数据-取费表'!S"&amp;$G$1))/10000,0)</f>
        <v>160</v>
      </c>
      <c r="D17" s="347" t="s">
        <v>1421</v>
      </c>
      <c r="E17" s="347" t="s">
        <v>1422</v>
      </c>
      <c r="F17" s="26">
        <f>'数据-取费表'!B35</f>
        <v>200</v>
      </c>
      <c r="G17" s="1853"/>
      <c r="H17" s="1201" t="s">
        <v>1031</v>
      </c>
      <c r="I17" s="347" t="s">
        <v>1423</v>
      </c>
      <c r="J17" s="24">
        <f ca="1">ROUND(IF(项目基本情况!B11="自然人",J6*M17/(1+'数据-取费表'!C42),J18+J19+J20),1)</f>
        <v>39.200000000000003</v>
      </c>
      <c r="K17" s="2967" t="s">
        <v>1424</v>
      </c>
      <c r="L17" s="2966" t="s">
        <v>1425</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42</v>
      </c>
      <c r="D18" s="347" t="s">
        <v>1415</v>
      </c>
      <c r="E18" s="347" t="s">
        <v>1416</v>
      </c>
      <c r="F18" s="367">
        <f>'数据-取费表'!B36</f>
        <v>1.4999999999999999E-2</v>
      </c>
      <c r="G18" s="1853"/>
      <c r="H18" s="1201" t="s">
        <v>1030</v>
      </c>
      <c r="I18" s="347" t="s">
        <v>1427</v>
      </c>
      <c r="J18" s="24">
        <f ca="1">ROUND(J6*M18/(1+'数据-取费表'!C42),2)</f>
        <v>0</v>
      </c>
      <c r="K18" s="2966"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3113</v>
      </c>
      <c r="D19" s="140" t="s">
        <v>1430</v>
      </c>
      <c r="E19" s="2971"/>
      <c r="F19" s="26"/>
      <c r="G19" s="1850"/>
      <c r="H19" s="1201" t="s">
        <v>1032</v>
      </c>
      <c r="I19" s="347" t="s">
        <v>1431</v>
      </c>
      <c r="J19" s="24">
        <f ca="1">IF(K19="按租金收入计税",ROUND(J6*M19/(1+'数据-取费表'!C42),2),ROUND(C29*M19*0.7,2))</f>
        <v>36.46</v>
      </c>
      <c r="K19" s="1827" t="s">
        <v>1432</v>
      </c>
      <c r="L19" s="347" t="s">
        <v>1416</v>
      </c>
      <c r="M19" s="367">
        <f>IF(K19="按租金收入计税",'数据-取费表'!B51,'数据-取费表'!B50)</f>
        <v>1.2E-2</v>
      </c>
    </row>
    <row r="20" spans="1:37" s="1857" customFormat="1" ht="18" customHeight="1">
      <c r="A20" s="1201" t="s">
        <v>1035</v>
      </c>
      <c r="B20" s="347" t="s">
        <v>1433</v>
      </c>
      <c r="C20" s="24">
        <f ca="1">ROUND(C19*F20,0)</f>
        <v>62</v>
      </c>
      <c r="D20" s="369" t="s">
        <v>1434</v>
      </c>
      <c r="E20" s="347" t="s">
        <v>1416</v>
      </c>
      <c r="F20" s="367">
        <f>'数据-取费表'!B37</f>
        <v>0.02</v>
      </c>
      <c r="G20" s="1853"/>
      <c r="H20" s="1201" t="s">
        <v>1383</v>
      </c>
      <c r="I20" s="164" t="s">
        <v>1435</v>
      </c>
      <c r="J20" s="25">
        <f ca="1">ROUND(M20*M21/10000,2)</f>
        <v>2.75</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1832.78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71"/>
      <c r="F22" s="26"/>
      <c r="G22" s="1850"/>
      <c r="H22" s="1201" t="s">
        <v>1035</v>
      </c>
      <c r="I22" s="347" t="s">
        <v>1443</v>
      </c>
      <c r="J22" s="24">
        <f ca="1">ROUND(J14*M22,1)</f>
        <v>43.4</v>
      </c>
      <c r="K22" s="2966" t="s">
        <v>1444</v>
      </c>
      <c r="L22" s="347" t="s">
        <v>1416</v>
      </c>
      <c r="M22" s="374">
        <f ca="1">INDIRECT("'数据-取费表'!Ak"&amp;$G$1)</f>
        <v>0.01</v>
      </c>
    </row>
    <row r="23" spans="1:37" s="1857" customFormat="1" ht="18" customHeight="1">
      <c r="A23" s="1201" t="s">
        <v>1030</v>
      </c>
      <c r="B23" s="347" t="s">
        <v>1445</v>
      </c>
      <c r="C23" s="24">
        <f ca="1">IF('数据-取费表'!B22&lt;=1,ROUND(C19*F24*F23/2,0)+ROUND(C20*F24*F23/2,0),ROUND(C19*(POWER((1+F24),F23/2)-1),0)+ROUND(C20*(POWER((1+F24),F23/2)-1),0))</f>
        <v>190</v>
      </c>
      <c r="D23" s="375" t="str">
        <f>IF(F23&lt;=1,"(建造成本+管理费用)×利率×(建设周期÷2)","(建造成本+管理费用)×((1+利率)^(建设周期÷2)-1)")</f>
        <v>(建造成本+管理费用)×((1+利率)^(建设周期÷2)-1)</v>
      </c>
      <c r="E23" s="347" t="s">
        <v>1446</v>
      </c>
      <c r="F23" s="371">
        <f>'数据-取费表'!B20</f>
        <v>2.5</v>
      </c>
      <c r="G23" s="1853"/>
      <c r="H23" s="1201" t="s">
        <v>1071</v>
      </c>
      <c r="I23" s="347" t="s">
        <v>1447</v>
      </c>
      <c r="J23" s="24">
        <f ca="1">ROUND(J13*M23,1)</f>
        <v>0</v>
      </c>
      <c r="K23" s="2966" t="s">
        <v>1448</v>
      </c>
      <c r="L23" s="347" t="s">
        <v>1416</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53"/>
      <c r="H24" s="1339" t="s">
        <v>1386</v>
      </c>
      <c r="I24" s="1340" t="s">
        <v>1433</v>
      </c>
      <c r="J24" s="1341">
        <f ca="1">ROUND(J5*M24,1)</f>
        <v>0</v>
      </c>
      <c r="K24" s="1342" t="s">
        <v>1453</v>
      </c>
      <c r="L24" s="1340" t="s">
        <v>1416</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2971"/>
      <c r="F25" s="26"/>
      <c r="G25" s="1850"/>
      <c r="H25" s="1329" t="s">
        <v>1027</v>
      </c>
      <c r="I25" s="1344" t="s">
        <v>1457</v>
      </c>
      <c r="J25" s="355">
        <f ca="1">J5-J16</f>
        <v>-83</v>
      </c>
      <c r="K25" s="1345" t="s">
        <v>1458</v>
      </c>
      <c r="L25" s="1346"/>
      <c r="M25" s="1347"/>
    </row>
    <row r="26" spans="1:37" ht="13">
      <c r="A26" s="1201" t="s">
        <v>1030</v>
      </c>
      <c r="B26" s="347" t="s">
        <v>1459</v>
      </c>
      <c r="C26" s="24">
        <f ca="1">ROUND((C19+C20)*F26,0)</f>
        <v>635</v>
      </c>
      <c r="D26" s="369" t="s">
        <v>1460</v>
      </c>
      <c r="E26" s="358" t="s">
        <v>1461</v>
      </c>
      <c r="F26" s="357">
        <f ca="1">INDIRECT("'数据-取费表'!q"&amp;$G$1)</f>
        <v>0.2</v>
      </c>
      <c r="G26" s="1850"/>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4341</v>
      </c>
      <c r="D29" s="1342"/>
      <c r="E29" s="1340"/>
      <c r="F29" s="1343"/>
      <c r="G29" s="1853"/>
      <c r="H29" s="380" t="s">
        <v>1029</v>
      </c>
      <c r="I29" s="381" t="s">
        <v>1473</v>
      </c>
      <c r="J29" s="382">
        <f ca="1">ROUND(J26/(1+F40)^F41,0)</f>
        <v>0</v>
      </c>
      <c r="K29" s="383" t="s">
        <v>1474</v>
      </c>
      <c r="L29" s="384"/>
      <c r="M29" s="385">
        <f ca="1">INDIRECT("'数据-取费表'!k"&amp;$G$1)</f>
        <v>7997.1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180</v>
      </c>
      <c r="D30" s="1337" t="s">
        <v>1419</v>
      </c>
      <c r="E30" s="2968"/>
      <c r="F30" s="1294"/>
      <c r="G30" s="1850"/>
      <c r="H30" s="745"/>
      <c r="I30" s="746"/>
      <c r="J30" s="747"/>
      <c r="K30" s="748"/>
      <c r="L30" s="749"/>
      <c r="M30" s="750"/>
    </row>
    <row r="31" spans="1:37" ht="18" customHeight="1">
      <c r="A31" s="1201" t="s">
        <v>1031</v>
      </c>
      <c r="B31" s="347" t="s">
        <v>1423</v>
      </c>
      <c r="C31" s="24">
        <f ca="1">ROUND(IF(项目基本情况!B11="自然人",C6*F31/(1+'数据-取费表'!C42),C32+C33+C34),1)</f>
        <v>119.4</v>
      </c>
      <c r="D31" s="2967" t="s">
        <v>1424</v>
      </c>
      <c r="E31" s="2966" t="s">
        <v>1475</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1030</v>
      </c>
      <c r="B32" s="347" t="s">
        <v>1427</v>
      </c>
      <c r="C32" s="24">
        <f ca="1">IF(项目基本情况!B11="自然人","——",ROUND(C6*F32/(1+'数据-取费表'!C42),2))</f>
        <v>37.119999999999997</v>
      </c>
      <c r="D32" s="2966"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79.540000000000006</v>
      </c>
      <c r="D33" s="1827" t="s">
        <v>4720</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2.75</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1832.78</v>
      </c>
      <c r="G35" s="1850"/>
      <c r="H35" s="745"/>
      <c r="I35" s="1859"/>
      <c r="J35" s="1860"/>
      <c r="K35" s="1861"/>
      <c r="L35" s="1858"/>
      <c r="M35" s="1858"/>
    </row>
    <row r="36" spans="1:18" ht="18" customHeight="1">
      <c r="A36" s="1352" t="s">
        <v>1035</v>
      </c>
      <c r="B36" s="347" t="s">
        <v>1443</v>
      </c>
      <c r="C36" s="24">
        <f ca="1">ROUND(C29*F36,1)</f>
        <v>43.4</v>
      </c>
      <c r="D36" s="2966" t="s">
        <v>1476</v>
      </c>
      <c r="E36" s="347" t="s">
        <v>1416</v>
      </c>
      <c r="F36" s="374">
        <f ca="1">INDIRECT("'数据-取费表'!Ak"&amp;$G$1)</f>
        <v>0.01</v>
      </c>
      <c r="G36" s="1850"/>
      <c r="H36" s="1858"/>
      <c r="I36" s="1859"/>
      <c r="J36" s="1860"/>
      <c r="K36" s="751"/>
      <c r="L36" s="1858"/>
      <c r="M36" s="1858"/>
    </row>
    <row r="37" spans="1:18" ht="18" customHeight="1">
      <c r="A37" s="1201" t="s">
        <v>1071</v>
      </c>
      <c r="B37" s="347" t="s">
        <v>1447</v>
      </c>
      <c r="C37" s="24">
        <f ca="1">ROUND(C13*F37,1)</f>
        <v>6.5</v>
      </c>
      <c r="D37" s="2966" t="s">
        <v>1448</v>
      </c>
      <c r="E37" s="347" t="s">
        <v>1416</v>
      </c>
      <c r="F37" s="376">
        <f ca="1">INDIRECT("'数据-取费表'!Al"&amp;$G$1)</f>
        <v>1.5E-3</v>
      </c>
      <c r="G37" s="1850"/>
      <c r="H37" s="1858"/>
      <c r="I37" s="1859"/>
      <c r="J37" s="1860"/>
      <c r="K37" s="751"/>
      <c r="L37" s="1858"/>
      <c r="M37" s="1858"/>
    </row>
    <row r="38" spans="1:18" ht="18" customHeight="1" thickBot="1">
      <c r="A38" s="1339" t="s">
        <v>1386</v>
      </c>
      <c r="B38" s="1340" t="s">
        <v>1433</v>
      </c>
      <c r="C38" s="1341">
        <f ca="1">ROUND(C5*F38,1)</f>
        <v>10.5</v>
      </c>
      <c r="D38" s="1342" t="s">
        <v>1453</v>
      </c>
      <c r="E38" s="1340" t="s">
        <v>1416</v>
      </c>
      <c r="F38" s="1336">
        <f ca="1">INDIRECT("'数据-取费表'!Am"&amp;$G$1)</f>
        <v>1.4999999999999999E-2</v>
      </c>
      <c r="G38" s="1850"/>
      <c r="H38" s="1858"/>
      <c r="I38" s="1859"/>
      <c r="J38" s="1860"/>
      <c r="K38" s="1864"/>
      <c r="L38" s="1858"/>
      <c r="M38" s="1858"/>
    </row>
    <row r="39" spans="1:18" ht="24.65" customHeight="1" thickTop="1">
      <c r="A39" s="1329" t="s">
        <v>1027</v>
      </c>
      <c r="B39" s="1344" t="s">
        <v>1457</v>
      </c>
      <c r="C39" s="355">
        <f ca="1">C5-C30</f>
        <v>517</v>
      </c>
      <c r="D39" s="1345" t="s">
        <v>1458</v>
      </c>
      <c r="E39" s="1346"/>
      <c r="F39" s="1347"/>
      <c r="G39" s="1850"/>
      <c r="H39" s="1858"/>
      <c r="I39" s="1859"/>
      <c r="J39" s="1860"/>
      <c r="K39" s="1864"/>
      <c r="L39" s="1858"/>
      <c r="M39" s="1858"/>
    </row>
    <row r="40" spans="1:18" ht="18" customHeight="1">
      <c r="A40" s="344" t="s">
        <v>1028</v>
      </c>
      <c r="B40" s="345" t="s">
        <v>1479</v>
      </c>
      <c r="C40" s="346">
        <f ca="1">ROUND(C39*(1-((1+F42)/(1+F40))^F41)/(F40-F42),0)</f>
        <v>8264</v>
      </c>
      <c r="D40" s="370" t="s">
        <v>1463</v>
      </c>
      <c r="E40" s="347" t="s">
        <v>1464</v>
      </c>
      <c r="F40" s="357">
        <f ca="1">INDIRECT("'数据-取费表'!I"&amp;$G$1)</f>
        <v>0.06</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22.745000000000001</v>
      </c>
      <c r="G41" s="1850"/>
      <c r="H41" s="732"/>
      <c r="I41" s="1859"/>
      <c r="J41" s="1860"/>
      <c r="K41" s="751"/>
      <c r="L41" s="732"/>
      <c r="M41" s="732"/>
    </row>
    <row r="42" spans="1:18" ht="18" customHeight="1">
      <c r="A42" s="353"/>
      <c r="B42" s="354"/>
      <c r="C42" s="355"/>
      <c r="D42" s="373"/>
      <c r="E42" s="347" t="s">
        <v>1471</v>
      </c>
      <c r="F42" s="357">
        <f ca="1">INDIRECT("'数据-取费表'!v"&amp;$G$1)</f>
        <v>0.03</v>
      </c>
      <c r="G42" s="1850"/>
      <c r="H42" s="732"/>
      <c r="I42" s="1859"/>
      <c r="J42" s="1860"/>
      <c r="K42" s="751"/>
      <c r="L42" s="732"/>
      <c r="M42" s="732"/>
    </row>
    <row r="43" spans="1:18" ht="18" customHeight="1" thickBot="1">
      <c r="A43" s="380" t="s">
        <v>1029</v>
      </c>
      <c r="B43" s="381" t="s">
        <v>1481</v>
      </c>
      <c r="C43" s="382">
        <f ca="1">ROUND(C40*10000/F43,0)</f>
        <v>10334</v>
      </c>
      <c r="D43" s="383" t="s">
        <v>1482</v>
      </c>
      <c r="E43" s="384" t="s">
        <v>1483</v>
      </c>
      <c r="F43" s="385">
        <f ca="1">INDIRECT("'数据-取费表'!k"&amp;$G$1)</f>
        <v>7997.1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4" thickBot="1">
      <c r="A46" s="1869" t="s">
        <v>1514</v>
      </c>
      <c r="C46" s="1870">
        <f ca="1">C68-C40</f>
        <v>-13367</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4721</v>
      </c>
      <c r="K47" s="1881" t="s">
        <v>1521</v>
      </c>
      <c r="L47" s="1882">
        <f ca="1">INDIRECT("'数据-取费表'!d"&amp;$G$1)</f>
        <v>40</v>
      </c>
      <c r="M47" s="1837" t="str">
        <f>IF(ISNUMBER(FIND("住宅",C1)),"住宅","非住宅")</f>
        <v>非住宅</v>
      </c>
      <c r="O47" s="1883" t="s">
        <v>1036</v>
      </c>
      <c r="P47" s="1884" t="s">
        <v>1522</v>
      </c>
      <c r="Q47" s="1885">
        <f ca="1">C40+J29</f>
        <v>8264</v>
      </c>
      <c r="R47" s="1885" t="s">
        <v>1523</v>
      </c>
    </row>
    <row r="48" spans="1:18" s="1841" customFormat="1" ht="43.5" thickBot="1">
      <c r="A48" s="1360" t="s">
        <v>1131</v>
      </c>
      <c r="B48" s="345" t="s">
        <v>1395</v>
      </c>
      <c r="C48" s="2970">
        <f ca="1">C49+C53+C55</f>
        <v>0</v>
      </c>
      <c r="D48" s="1362"/>
      <c r="E48" s="1363"/>
      <c r="F48" s="1181"/>
      <c r="G48" s="792"/>
      <c r="H48" s="793"/>
      <c r="I48" s="1886" t="s">
        <v>1524</v>
      </c>
      <c r="J48" s="1887" t="s">
        <v>4722</v>
      </c>
      <c r="K48" s="1888" t="s">
        <v>1525</v>
      </c>
      <c r="L48" s="1889">
        <f ca="1">INDIRECT("'数据-取费表'!f"&amp;$G$1)</f>
        <v>23.62</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3025</v>
      </c>
      <c r="E49" s="1829" t="s">
        <v>1485</v>
      </c>
      <c r="F49" s="1281"/>
      <c r="G49" s="1890"/>
      <c r="H49" s="793"/>
      <c r="I49" s="1886" t="s">
        <v>1528</v>
      </c>
      <c r="J49" s="1891"/>
      <c r="K49" s="1888" t="s">
        <v>1529</v>
      </c>
      <c r="L49" s="1892"/>
      <c r="O49" s="1893" t="s">
        <v>1038</v>
      </c>
      <c r="P49" s="1884" t="s">
        <v>1530</v>
      </c>
      <c r="Q49" s="1885">
        <f ca="1">C29</f>
        <v>4341</v>
      </c>
      <c r="R49" s="1885" t="s">
        <v>1523</v>
      </c>
    </row>
    <row r="50" spans="1:18" s="1841" customFormat="1" ht="13.5" thickBot="1">
      <c r="A50" s="1195"/>
      <c r="B50" s="1198"/>
      <c r="C50" s="1368"/>
      <c r="D50" s="1172"/>
      <c r="E50" s="1277" t="s">
        <v>1400</v>
      </c>
      <c r="F50" s="1278">
        <f ca="1">F7</f>
        <v>7997.1</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60</v>
      </c>
      <c r="K51" s="1899" t="s">
        <v>1535</v>
      </c>
      <c r="L51" s="1900">
        <f ca="1">ROUND(-PV(INDIRECT("'数据-取费表'!h"&amp;$G$1),L48,(C39-C13*C76),0),0)</f>
        <v>2025</v>
      </c>
      <c r="M51" s="1901"/>
      <c r="O51" s="1893" t="s">
        <v>1040</v>
      </c>
      <c r="P51" s="1884" t="s">
        <v>1536</v>
      </c>
      <c r="Q51" s="1896">
        <f>J52</f>
        <v>0.09</v>
      </c>
      <c r="R51" s="1885"/>
    </row>
    <row r="52" spans="1:18" s="1841" customFormat="1" ht="13.5" thickBot="1">
      <c r="A52" s="1196"/>
      <c r="B52" s="1198"/>
      <c r="C52" s="1199"/>
      <c r="D52" s="1172"/>
      <c r="E52" s="1200" t="s">
        <v>1402</v>
      </c>
      <c r="F52" s="1275"/>
      <c r="I52" s="1902" t="s">
        <v>1537</v>
      </c>
      <c r="J52" s="1903">
        <v>0.09</v>
      </c>
      <c r="K52" s="1902" t="s">
        <v>1538</v>
      </c>
      <c r="L52" s="1903"/>
      <c r="O52" s="1893" t="s">
        <v>1041</v>
      </c>
      <c r="P52" s="1884" t="s">
        <v>1539</v>
      </c>
      <c r="Q52" s="1885">
        <f ca="1">J53</f>
        <v>22.745000000000001</v>
      </c>
      <c r="R52" s="1885" t="s">
        <v>1540</v>
      </c>
    </row>
    <row r="53" spans="1:18" s="1841" customFormat="1" ht="26.5" thickBot="1">
      <c r="A53" s="1405" t="s">
        <v>1133</v>
      </c>
      <c r="B53" s="1830" t="s">
        <v>1403</v>
      </c>
      <c r="C53" s="361">
        <f ca="1">ROUND(IF(F53="押一",C49/12*F11,IF(F53="押二",C49/12*2*F11,IF(F53="押三",C49/12*3*F11,C54*F11))),0)</f>
        <v>0</v>
      </c>
      <c r="D53" s="1823" t="s">
        <v>3034</v>
      </c>
      <c r="E53" s="358" t="s">
        <v>1404</v>
      </c>
      <c r="F53" s="1366"/>
      <c r="I53" s="1904" t="s">
        <v>1541</v>
      </c>
      <c r="J53" s="2950">
        <f ca="1">IF(M47="住宅",IF(D1="——",MAX(J51,L48),MAX(J51,L48-'数据-取费表'!B24)),IF(D1="——",MIN(J51,L48),MIN(J51,L48-'数据-取费表'!B24)))</f>
        <v>22.745000000000001</v>
      </c>
      <c r="K53" s="3213" t="s">
        <v>1542</v>
      </c>
      <c r="L53" s="3214"/>
      <c r="O53" s="1883" t="s">
        <v>1042</v>
      </c>
      <c r="P53" s="1884" t="s">
        <v>1543</v>
      </c>
      <c r="Q53" s="1885">
        <f ca="1">Q47+Q48</f>
        <v>8264</v>
      </c>
      <c r="R53" s="1885" t="s">
        <v>1043</v>
      </c>
    </row>
    <row r="54" spans="1:18" s="1841" customFormat="1" ht="26.5" thickBot="1">
      <c r="A54" s="1406"/>
      <c r="B54" s="1824" t="s">
        <v>1382</v>
      </c>
      <c r="C54" s="1178"/>
      <c r="D54" s="1823"/>
      <c r="E54" s="2969"/>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2969"/>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40" thickTop="1" thickBot="1">
      <c r="A56" s="1176">
        <v>2</v>
      </c>
      <c r="B56" s="1177" t="s">
        <v>1408</v>
      </c>
      <c r="C56" s="276">
        <f ca="1">C13</f>
        <v>4341</v>
      </c>
      <c r="D56" s="1912"/>
      <c r="E56" s="1913"/>
      <c r="F56" s="1905"/>
      <c r="I56" s="1914" t="s">
        <v>1548</v>
      </c>
      <c r="J56" s="1915" t="s">
        <v>3063</v>
      </c>
      <c r="K56" s="1886" t="s">
        <v>1549</v>
      </c>
      <c r="L56" s="1889" t="str">
        <f ca="1">IF(L48&lt;J51,"——",L48-J53)</f>
        <v>——</v>
      </c>
      <c r="O56" s="1883" t="s">
        <v>1036</v>
      </c>
      <c r="P56" s="1884" t="s">
        <v>1522</v>
      </c>
      <c r="Q56" s="1885">
        <f ca="1">C40+J29</f>
        <v>8264</v>
      </c>
      <c r="R56" s="1885" t="s">
        <v>1523</v>
      </c>
    </row>
    <row r="57" spans="1:18" s="1841" customFormat="1" ht="26.5" thickBot="1">
      <c r="A57" s="1916"/>
      <c r="B57" s="1169" t="s">
        <v>1472</v>
      </c>
      <c r="C57" s="282">
        <f ca="1">C29</f>
        <v>4341</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6.5" thickBot="1">
      <c r="A58" s="360" t="s">
        <v>1026</v>
      </c>
      <c r="B58" s="1177" t="s">
        <v>1418</v>
      </c>
      <c r="C58" s="361">
        <f ca="1">ROUND(C59+C64+C65+C66,0)</f>
        <v>417</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6.5" thickBot="1">
      <c r="A59" s="1201" t="s">
        <v>1031</v>
      </c>
      <c r="B59" s="1169" t="s">
        <v>1423</v>
      </c>
      <c r="C59" s="24">
        <f ca="1">ROUND(IF(项目基本情况!B11="自然人",C48*F59,C60+C61+C62),1)</f>
        <v>367.4</v>
      </c>
      <c r="D59" s="1182" t="s">
        <v>1424</v>
      </c>
      <c r="E59" s="1183" t="s">
        <v>1425</v>
      </c>
      <c r="F59" s="368">
        <f ca="1">IF(项目基本情况!B11="企业","",IF(INDIRECT("'数据-取费表'!c"&amp;$G$1)="住宅",5%,IF(F49*F50*F51/12/(1+'数据-取费表'!C42)&gt;20000,12%,7%)))</f>
        <v>7.0000000000000007E-2</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 thickBot="1">
      <c r="A60" s="1201" t="s">
        <v>1030</v>
      </c>
      <c r="B60" s="1169" t="s">
        <v>1427</v>
      </c>
      <c r="C60" s="24">
        <f ca="1">IF(项目基本情况!B11="自然人","——",ROUND(C48*F60/(1+'数据-取费表'!C42),2))</f>
        <v>0</v>
      </c>
      <c r="D60" s="1183" t="s">
        <v>1428</v>
      </c>
      <c r="E60" s="1169"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1431</v>
      </c>
      <c r="C61" s="24">
        <f ca="1">IF(项目基本情况!B11="自然人","——",IF(D61="按租金收入计税",ROUND(C48*F61,2),IF(D61="按房产原值计税",ROUND(C57*F61*0.7,2),INDIRECT("'数据-取费表'!Aj"&amp;$G$1))))</f>
        <v>364.64</v>
      </c>
      <c r="D61" s="1827" t="s">
        <v>1432</v>
      </c>
      <c r="E61" s="1169" t="s">
        <v>1416</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1435</v>
      </c>
      <c r="C62" s="25">
        <f ca="1">IF(项目基本情况!B11="自然人","——",ROUND(F62*F63/10000,2))</f>
        <v>2.75</v>
      </c>
      <c r="D62" s="1184" t="s">
        <v>1436</v>
      </c>
      <c r="E62" s="1169" t="s">
        <v>1437</v>
      </c>
      <c r="F62" s="371">
        <f t="shared" si="0"/>
        <v>15</v>
      </c>
      <c r="I62" s="1927" t="s">
        <v>1564</v>
      </c>
      <c r="J62" s="1928" t="s">
        <v>1565</v>
      </c>
      <c r="K62" s="1928" t="s">
        <v>1566</v>
      </c>
      <c r="L62" s="1928" t="s">
        <v>1567</v>
      </c>
      <c r="M62" s="1929" t="s">
        <v>1568</v>
      </c>
      <c r="O62" s="1883" t="s">
        <v>1042</v>
      </c>
      <c r="P62" s="1884" t="s">
        <v>1543</v>
      </c>
      <c r="Q62" s="1885">
        <f ca="1">Q56+Q57</f>
        <v>8264</v>
      </c>
      <c r="R62" s="1885" t="s">
        <v>1043</v>
      </c>
    </row>
    <row r="63" spans="1:18" s="1841" customFormat="1" ht="13.5" thickBot="1">
      <c r="A63" s="372"/>
      <c r="B63" s="1175"/>
      <c r="C63" s="29"/>
      <c r="D63" s="1185"/>
      <c r="E63" s="1169" t="s">
        <v>1441</v>
      </c>
      <c r="F63" s="348">
        <f t="shared" ca="1" si="0"/>
        <v>1832.78</v>
      </c>
      <c r="I63" s="1927" t="s">
        <v>1570</v>
      </c>
      <c r="J63" s="1928">
        <v>70</v>
      </c>
      <c r="K63" s="1928">
        <v>50</v>
      </c>
      <c r="L63" s="1928">
        <v>80</v>
      </c>
      <c r="M63" s="1930">
        <v>0.02</v>
      </c>
      <c r="O63" s="1868" t="s">
        <v>1571</v>
      </c>
      <c r="P63" s="1838"/>
      <c r="Q63" s="1838"/>
      <c r="R63" s="1838"/>
    </row>
    <row r="64" spans="1:18" s="1841" customFormat="1" ht="13.5" thickBot="1">
      <c r="A64" s="1201" t="s">
        <v>1035</v>
      </c>
      <c r="B64" s="1169" t="s">
        <v>1443</v>
      </c>
      <c r="C64" s="24">
        <f ca="1">ROUND(C57*F64,1)</f>
        <v>43.4</v>
      </c>
      <c r="D64" s="1183" t="s">
        <v>1476</v>
      </c>
      <c r="E64" s="1169" t="s">
        <v>1416</v>
      </c>
      <c r="F64" s="374">
        <f t="shared" ca="1" si="0"/>
        <v>0.01</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6.5</v>
      </c>
      <c r="D65" s="1183" t="s">
        <v>1448</v>
      </c>
      <c r="E65" s="1169" t="s">
        <v>1416</v>
      </c>
      <c r="F65" s="376">
        <f t="shared" ca="1" si="0"/>
        <v>1.5E-3</v>
      </c>
      <c r="I65" s="1927" t="s">
        <v>1573</v>
      </c>
      <c r="J65" s="1928">
        <v>40</v>
      </c>
      <c r="K65" s="1928">
        <v>30</v>
      </c>
      <c r="L65" s="1928">
        <v>50</v>
      </c>
      <c r="M65" s="1930">
        <v>0.02</v>
      </c>
      <c r="O65" s="1883" t="s">
        <v>1036</v>
      </c>
      <c r="P65" s="1884" t="s">
        <v>1522</v>
      </c>
      <c r="Q65" s="1885">
        <f ca="1">C40+J29</f>
        <v>8264</v>
      </c>
      <c r="R65" s="1885" t="s">
        <v>1523</v>
      </c>
    </row>
    <row r="66" spans="1:18" s="1841" customFormat="1" ht="16" thickBot="1">
      <c r="A66" s="1201" t="s">
        <v>1498</v>
      </c>
      <c r="B66" s="1169" t="s">
        <v>1433</v>
      </c>
      <c r="C66" s="24">
        <f ca="1">ROUND(C48*F66,1)</f>
        <v>0</v>
      </c>
      <c r="D66" s="1183" t="s">
        <v>1453</v>
      </c>
      <c r="E66" s="1169" t="s">
        <v>1416</v>
      </c>
      <c r="F66" s="357">
        <f t="shared" ca="1" si="0"/>
        <v>1.4999999999999999E-2</v>
      </c>
      <c r="O66" s="1883" t="s">
        <v>1037</v>
      </c>
      <c r="P66" s="1884" t="s">
        <v>1552</v>
      </c>
      <c r="Q66" s="1885">
        <f ca="1">L60</f>
        <v>0</v>
      </c>
      <c r="R66" s="1885" t="s">
        <v>1575</v>
      </c>
    </row>
    <row r="67" spans="1:18" s="1841" customFormat="1" ht="26.5" thickBot="1">
      <c r="A67" s="1176" t="s">
        <v>1027</v>
      </c>
      <c r="B67" s="1186" t="s">
        <v>1457</v>
      </c>
      <c r="C67" s="361">
        <f ca="1">C48-C58</f>
        <v>-417</v>
      </c>
      <c r="D67" s="1182" t="s">
        <v>1458</v>
      </c>
      <c r="E67" s="1187"/>
      <c r="F67" s="1188"/>
      <c r="O67" s="1893" t="s">
        <v>1038</v>
      </c>
      <c r="P67" s="1884" t="s">
        <v>1556</v>
      </c>
      <c r="Q67" s="1931">
        <f ca="1">L51</f>
        <v>2025</v>
      </c>
      <c r="R67" s="1885" t="s">
        <v>1576</v>
      </c>
    </row>
    <row r="68" spans="1:18" s="1841" customFormat="1" ht="16" thickBot="1">
      <c r="A68" s="1166" t="s">
        <v>1028</v>
      </c>
      <c r="B68" s="1167" t="s">
        <v>1479</v>
      </c>
      <c r="C68" s="346">
        <f ca="1">ROUND(C67*(1-((1+F70)/(1+F68))^F69)/(F68-F70),0)</f>
        <v>-5103</v>
      </c>
      <c r="D68" s="1184" t="s">
        <v>1463</v>
      </c>
      <c r="E68" s="1169" t="s">
        <v>1464</v>
      </c>
      <c r="F68" s="357">
        <f ca="1">F40</f>
        <v>0.06</v>
      </c>
      <c r="O68" s="1893" t="s">
        <v>1039</v>
      </c>
      <c r="P68" s="1932" t="s">
        <v>1577</v>
      </c>
      <c r="Q68" s="1885">
        <f ca="1">ROUND(Q69-Q70*Q71,0)</f>
        <v>148</v>
      </c>
      <c r="R68" s="1885" t="s">
        <v>1047</v>
      </c>
    </row>
    <row r="69" spans="1:18" s="1841" customFormat="1" ht="13.5" thickBot="1">
      <c r="A69" s="1170"/>
      <c r="B69" s="1171"/>
      <c r="C69" s="351"/>
      <c r="D69" s="1189" t="s">
        <v>1467</v>
      </c>
      <c r="E69" s="1169" t="s">
        <v>1468</v>
      </c>
      <c r="F69" s="379">
        <f ca="1">F41</f>
        <v>22.745000000000001</v>
      </c>
      <c r="O69" s="1893" t="s">
        <v>1044</v>
      </c>
      <c r="P69" s="1932" t="s">
        <v>1578</v>
      </c>
      <c r="Q69" s="1885">
        <f ca="1">C39</f>
        <v>517</v>
      </c>
      <c r="R69" s="1885" t="s">
        <v>1523</v>
      </c>
    </row>
    <row r="70" spans="1:18" s="1841" customFormat="1" ht="13.5" thickBot="1">
      <c r="A70" s="1173"/>
      <c r="B70" s="1174"/>
      <c r="C70" s="355"/>
      <c r="D70" s="1185"/>
      <c r="E70" s="1169" t="s">
        <v>1471</v>
      </c>
      <c r="F70" s="1275"/>
      <c r="O70" s="1893" t="s">
        <v>1045</v>
      </c>
      <c r="P70" s="1932" t="s">
        <v>1579</v>
      </c>
      <c r="Q70" s="1885">
        <f ca="1">C13</f>
        <v>4341</v>
      </c>
      <c r="R70" s="1885" t="s">
        <v>1523</v>
      </c>
    </row>
    <row r="71" spans="1:18" s="1841" customFormat="1" ht="13.5" thickBot="1">
      <c r="A71" s="1190" t="s">
        <v>1029</v>
      </c>
      <c r="B71" s="1191" t="s">
        <v>1481</v>
      </c>
      <c r="C71" s="382">
        <f ca="1">ROUND(C68*10000/F71,0)</f>
        <v>-6381</v>
      </c>
      <c r="D71" s="1192" t="s">
        <v>1482</v>
      </c>
      <c r="E71" s="1193" t="s">
        <v>1483</v>
      </c>
      <c r="F71" s="385">
        <f ca="1">F43</f>
        <v>7997.1</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369</v>
      </c>
      <c r="D75" s="1841"/>
      <c r="E75" s="1841"/>
      <c r="F75" s="1841"/>
      <c r="K75" s="1867"/>
      <c r="L75" s="1841"/>
      <c r="O75" s="1883" t="s">
        <v>1042</v>
      </c>
      <c r="P75" s="1884" t="s">
        <v>1543</v>
      </c>
      <c r="Q75" s="1885">
        <f ca="1">Q65+Q66</f>
        <v>8264</v>
      </c>
      <c r="R75" s="1885" t="s">
        <v>1043</v>
      </c>
    </row>
    <row r="76" spans="1:18" ht="13">
      <c r="B76" s="388" t="s">
        <v>1501</v>
      </c>
      <c r="C76" s="389">
        <f ca="1">INDIRECT("'数据-取费表'!j"&amp;$G$1)</f>
        <v>8.5000000000000006E-2</v>
      </c>
      <c r="I76" s="1841"/>
      <c r="J76" s="1841"/>
      <c r="K76" s="1867"/>
      <c r="L76" s="1841"/>
    </row>
    <row r="77" spans="1:18" ht="13.5">
      <c r="B77" s="390" t="s">
        <v>1502</v>
      </c>
      <c r="C77" s="391"/>
      <c r="I77" s="1841"/>
      <c r="J77" s="1841"/>
      <c r="K77" s="1867"/>
      <c r="L77" s="1841"/>
    </row>
    <row r="78" spans="1:18" ht="13.5">
      <c r="B78" s="314" t="s">
        <v>1503</v>
      </c>
      <c r="C78" s="392"/>
    </row>
    <row r="79" spans="1:18" ht="13">
      <c r="B79" s="386" t="s">
        <v>1504</v>
      </c>
      <c r="C79" s="318">
        <f ca="1">1-C80</f>
        <v>0.28600000000000003</v>
      </c>
    </row>
    <row r="80" spans="1:18" ht="13">
      <c r="B80" s="386" t="s">
        <v>1505</v>
      </c>
      <c r="C80" s="318">
        <f ca="1">ROUND(C75/C39,3)</f>
        <v>0.71399999999999997</v>
      </c>
    </row>
    <row r="81" spans="2:3" ht="13.5">
      <c r="B81" s="314" t="s">
        <v>1506</v>
      </c>
      <c r="C81" s="282"/>
    </row>
    <row r="82" spans="2:3" ht="13">
      <c r="B82" s="317" t="s">
        <v>1507</v>
      </c>
      <c r="C82" s="319">
        <f ca="1">1-C83</f>
        <v>0.47499999999999998</v>
      </c>
    </row>
    <row r="83" spans="2:3" ht="13">
      <c r="B83" s="317" t="s">
        <v>1508</v>
      </c>
      <c r="C83" s="318">
        <f ca="1">ROUND(C13/C40,3)</f>
        <v>0.52500000000000002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xr:uid="{96317FFF-9C26-4C5B-BB71-44537FD09276}">
      <formula1>"在建（套用方法）,土地（套用方法）,——"</formula1>
    </dataValidation>
    <dataValidation type="list" allowBlank="1" showInputMessage="1" showErrorMessage="1" sqref="M10 F10 F53" xr:uid="{0A152534-E71F-4E04-9FDD-FD5D694F00C7}">
      <formula1>"押一,押二,押三,自定义"</formula1>
    </dataValidation>
    <dataValidation type="list" allowBlank="1" showInputMessage="1" showErrorMessage="1" sqref="L55" xr:uid="{20C16D88-5D0E-402E-A6F9-57A8FE095827}">
      <formula1>"比较法,基准地价,收益还原"</formula1>
    </dataValidation>
    <dataValidation type="list" allowBlank="1" showInputMessage="1" showErrorMessage="1" sqref="J56" xr:uid="{A9AEC3F6-3336-4D5F-8BE4-4E0EA0B6F74B}">
      <formula1>判定</formula1>
    </dataValidation>
    <dataValidation type="list" allowBlank="1" showInputMessage="1" showErrorMessage="1" sqref="J48" xr:uid="{C06CC33E-0752-44F1-BA2D-2D8A224F13B4}">
      <formula1>"非生产用房,生产用房,受腐蚀的生产用房"</formula1>
    </dataValidation>
    <dataValidation type="list" allowBlank="1" showInputMessage="1" showErrorMessage="1" sqref="J47" xr:uid="{9D299794-6DCF-4540-A642-555CC1787DE2}">
      <formula1>"钢,钢混,砖混"</formula1>
    </dataValidation>
    <dataValidation type="list" allowBlank="1" showInputMessage="1" showErrorMessage="1" sqref="C1" xr:uid="{9296BE11-181E-4C83-9292-2AE70296D3FD}">
      <formula1>项目类型</formula1>
    </dataValidation>
    <dataValidation type="list" allowBlank="1" showInputMessage="1" showErrorMessage="1" sqref="D33 D61" xr:uid="{C05F6FB2-C24E-4CB7-B130-944DC31CB137}">
      <formula1>"按租金收入计税,按房产原值计税,按票据"</formula1>
    </dataValidation>
    <dataValidation type="list" allowBlank="1" showInputMessage="1" showErrorMessage="1" sqref="K19" xr:uid="{73C63F7B-7F1B-435A-B8E9-9F947297E81B}">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943" customWidth="1"/>
    <col min="2" max="16384" width="9" style="1943"/>
  </cols>
  <sheetData>
    <row r="1" spans="1:1" ht="23">
      <c r="A1" s="1942" t="s">
        <v>1605</v>
      </c>
    </row>
    <row r="2" spans="1:1">
      <c r="A2" s="1944"/>
    </row>
    <row r="3" spans="1:1" ht="18">
      <c r="A3" s="1945" t="str">
        <f>项目基本情况!B5&amp;"："</f>
        <v>：</v>
      </c>
    </row>
    <row r="4" spans="1:1" ht="35">
      <c r="A4" s="1946" t="str">
        <f>"受贵公司委托，我公司对"&amp;项目基本情况!S1&amp;"进行了预评估。"</f>
        <v>受贵公司委托，我公司对出让国有建设用地使用权及在建建筑物房地产抵押价值进行了预评估。</v>
      </c>
    </row>
    <row r="5" spans="1:1" ht="18">
      <c r="A5" s="1947" t="s">
        <v>1606</v>
      </c>
    </row>
    <row r="6" spans="1:1" ht="17.5">
      <c r="A6" s="1948" t="s">
        <v>1607</v>
      </c>
    </row>
    <row r="7" spans="1:1" ht="5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估价对象为出让国有建设用地使用权及在建建筑物房地产，为所有。根据《国有土地使用证》[]，估价对象（分摊）出让国有建设用地使用权面积为29206.66平方米，建筑面积为127439.59平方米。</v>
      </c>
    </row>
    <row r="8" spans="1:1" ht="53.5">
      <c r="A8" s="1949" t="s">
        <v>1608</v>
      </c>
    </row>
    <row r="9" spans="1:1" ht="17.5">
      <c r="A9" s="1948" t="s">
        <v>1609</v>
      </c>
    </row>
    <row r="10" spans="1:1" ht="7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居住项目，该项目尚在开发建设中。根据《国有土地使用证》[]，估价对象（分摊）出让国有建设用地使用权面积为29206.66平方米，规划建筑面积为127439.59平方米。</v>
      </c>
    </row>
    <row r="11" spans="1:1" ht="71">
      <c r="A11" s="1949" t="s">
        <v>1610</v>
      </c>
    </row>
    <row r="12" spans="1:1" ht="18">
      <c r="A12" s="1947" t="s">
        <v>1611</v>
      </c>
    </row>
    <row r="13" spans="1:1" ht="38.25" customHeight="1">
      <c r="A13" s="1950"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
      <c r="A14" s="1951" t="s">
        <v>1612</v>
      </c>
    </row>
    <row r="15" spans="1:1" ht="17.5">
      <c r="A15" s="1952" t="str">
        <f>TEXT(项目基本情况!D3,"yyyy年m月d日;;")&amp;IF(项目基本情况!D3=项目基本情况!B3,"（评估专业人员实地查勘之日）","")</f>
        <v>2020年2月18日</v>
      </c>
    </row>
    <row r="16" spans="1:1" ht="18">
      <c r="A16" s="1951" t="s">
        <v>1613</v>
      </c>
    </row>
    <row r="17" spans="1:1" ht="70">
      <c r="A17" s="1946" t="s">
        <v>1614</v>
      </c>
    </row>
    <row r="18" spans="1:1" ht="70">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18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951" t="s">
        <v>1603</v>
      </c>
    </row>
    <row r="24" spans="1:1" ht="17.5">
      <c r="A24" s="1953" t="str">
        <f>"本次评估采用的主估价方法为"&amp;结果表!K4&amp;"和"&amp;结果表!L4&amp;"。"</f>
        <v>本次评估采用的主估价方法为成本法和假设开发法。</v>
      </c>
    </row>
    <row r="25" spans="1:1" ht="17.5">
      <c r="A25" s="1953"/>
    </row>
    <row r="26" spans="1:1" ht="1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4"/>
  <cols>
    <col min="1" max="1" width="10.453125" style="403" customWidth="1"/>
    <col min="2" max="2" width="15.81640625" style="403" customWidth="1"/>
    <col min="3" max="3" width="15.0898437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2624"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8" customFormat="1" ht="28.5" customHeight="1" thickBot="1">
      <c r="A1" s="1617" t="s">
        <v>2522</v>
      </c>
      <c r="B1" s="2582" t="s">
        <v>2523</v>
      </c>
      <c r="C1" s="1633" t="s">
        <v>2524</v>
      </c>
      <c r="D1" s="1620"/>
      <c r="E1" s="2583"/>
      <c r="F1" s="2584" t="s">
        <v>2525</v>
      </c>
      <c r="G1" s="1630" t="s">
        <v>2526</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6"/>
      <c r="D2" s="1365" t="e">
        <f ca="1">SUMIF(INDIRECT("'"&amp;F2&amp;"'"&amp;"!A:A"),"承租人权益价值",INDIRECT("'"&amp;F2&amp;"'"&amp;"!c:c"))</f>
        <v>#REF!</v>
      </c>
      <c r="E2" s="2587" t="s">
        <v>2527</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2528</v>
      </c>
      <c r="D3" s="399">
        <f>IF(D1="",'数据-汇总表'!E3,SUMIF('数据-汇总表'!$C19:$C33,D1,'数据-汇总表'!$E19:$E33))</f>
        <v>127439.59000000001</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c r="A4" s="401" t="s">
        <v>2529</v>
      </c>
      <c r="B4" s="402"/>
      <c r="C4" s="3174" t="s">
        <v>2530</v>
      </c>
      <c r="D4" s="3187"/>
      <c r="E4" s="3188" t="s">
        <v>2531</v>
      </c>
      <c r="F4" s="3189"/>
      <c r="G4" s="3174" t="s">
        <v>2532</v>
      </c>
      <c r="H4" s="3187"/>
      <c r="I4" s="3174" t="s">
        <v>2533</v>
      </c>
      <c r="J4" s="3187"/>
      <c r="K4" s="2596" t="s">
        <v>2534</v>
      </c>
      <c r="L4" s="1130"/>
      <c r="M4" s="1131"/>
      <c r="N4" s="1131"/>
      <c r="O4" s="1131"/>
      <c r="P4" s="3190" t="s">
        <v>2535</v>
      </c>
      <c r="Q4" s="3191"/>
      <c r="R4" s="3196" t="s">
        <v>2531</v>
      </c>
      <c r="S4" s="3197"/>
      <c r="T4" s="3196" t="s">
        <v>2532</v>
      </c>
      <c r="U4" s="3197"/>
      <c r="V4" s="3183" t="s">
        <v>2533</v>
      </c>
      <c r="W4" s="3183"/>
      <c r="X4" s="1812"/>
      <c r="Y4" s="3196" t="s">
        <v>2535</v>
      </c>
      <c r="Z4" s="3197"/>
      <c r="AA4" s="3184" t="s">
        <v>2531</v>
      </c>
      <c r="AB4" s="3184" t="s">
        <v>2532</v>
      </c>
      <c r="AC4" s="3184" t="s">
        <v>2533</v>
      </c>
    </row>
    <row r="5" spans="1:29">
      <c r="A5" s="404"/>
      <c r="B5" s="405"/>
      <c r="C5" s="3204" t="s">
        <v>2536</v>
      </c>
      <c r="D5" s="3205"/>
      <c r="E5" s="3211" t="s">
        <v>2537</v>
      </c>
      <c r="F5" s="3212"/>
      <c r="G5" s="3204" t="s">
        <v>2538</v>
      </c>
      <c r="H5" s="3205"/>
      <c r="I5" s="3204" t="s">
        <v>2539</v>
      </c>
      <c r="J5" s="3205"/>
      <c r="K5" s="2597"/>
      <c r="L5" s="1130"/>
      <c r="M5" s="1131"/>
      <c r="N5" s="1131"/>
      <c r="O5" s="1131"/>
      <c r="P5" s="3192"/>
      <c r="Q5" s="3193"/>
      <c r="R5" s="3198"/>
      <c r="S5" s="3199"/>
      <c r="T5" s="3198"/>
      <c r="U5" s="3199"/>
      <c r="V5" s="3183"/>
      <c r="W5" s="3183"/>
      <c r="X5" s="1812"/>
      <c r="Y5" s="3198"/>
      <c r="Z5" s="3199"/>
      <c r="AA5" s="3185"/>
      <c r="AB5" s="3185"/>
      <c r="AC5" s="3185"/>
    </row>
    <row r="6" spans="1:29" ht="15" thickBot="1">
      <c r="A6" s="406"/>
      <c r="B6" s="407"/>
      <c r="C6" s="3202" t="s">
        <v>2540</v>
      </c>
      <c r="D6" s="3203"/>
      <c r="E6" s="3209" t="s">
        <v>2540</v>
      </c>
      <c r="F6" s="3210"/>
      <c r="G6" s="3202" t="s">
        <v>2540</v>
      </c>
      <c r="H6" s="3203"/>
      <c r="I6" s="3202" t="s">
        <v>2540</v>
      </c>
      <c r="J6" s="3203"/>
      <c r="K6" s="2597" t="s">
        <v>2541</v>
      </c>
      <c r="L6" s="1130"/>
      <c r="M6" s="1131"/>
      <c r="N6" s="1131"/>
      <c r="O6" s="1131"/>
      <c r="P6" s="3194"/>
      <c r="Q6" s="3195"/>
      <c r="R6" s="3198"/>
      <c r="S6" s="3199"/>
      <c r="T6" s="3200"/>
      <c r="U6" s="3201"/>
      <c r="V6" s="3183"/>
      <c r="W6" s="3183"/>
      <c r="X6" s="1812"/>
      <c r="Y6" s="3200"/>
      <c r="Z6" s="3201"/>
      <c r="AA6" s="3186"/>
      <c r="AB6" s="3186"/>
      <c r="AC6" s="3186"/>
    </row>
    <row r="7" spans="1:29" s="117" customFormat="1" ht="14.5" thickBot="1">
      <c r="A7" s="408" t="s">
        <v>2542</v>
      </c>
      <c r="B7" s="409"/>
      <c r="C7" s="410">
        <f>'数据-取费表'!B2</f>
        <v>43879</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06" t="s">
        <v>2543</v>
      </c>
      <c r="Q7" s="3208"/>
      <c r="R7" s="770" t="s">
        <v>23</v>
      </c>
      <c r="S7" s="771">
        <f t="shared" ref="S7:S15" si="0">F7</f>
        <v>0</v>
      </c>
      <c r="T7" s="770" t="s">
        <v>23</v>
      </c>
      <c r="U7" s="771">
        <f t="shared" ref="U7:U15" si="1">H7</f>
        <v>0</v>
      </c>
      <c r="V7" s="770" t="s">
        <v>23</v>
      </c>
      <c r="W7" s="771">
        <f t="shared" ref="W7:W15" si="2">J7</f>
        <v>0</v>
      </c>
      <c r="X7" s="772"/>
      <c r="Y7" s="3206" t="s">
        <v>2543</v>
      </c>
      <c r="Z7" s="3207"/>
      <c r="AA7" s="773" t="e">
        <f>D7/F7</f>
        <v>#DIV/0!</v>
      </c>
      <c r="AB7" s="773" t="e">
        <f>D7/H7</f>
        <v>#DIV/0!</v>
      </c>
      <c r="AC7" s="773" t="e">
        <f>D7/J7</f>
        <v>#DIV/0!</v>
      </c>
    </row>
    <row r="8" spans="1:29" s="117" customFormat="1" ht="14.5" thickBot="1">
      <c r="A8" s="408" t="s">
        <v>2544</v>
      </c>
      <c r="B8" s="409"/>
      <c r="C8" s="414" t="s">
        <v>2545</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06" t="s">
        <v>2546</v>
      </c>
      <c r="Q8" s="3207"/>
      <c r="R8" s="770" t="s">
        <v>23</v>
      </c>
      <c r="S8" s="771">
        <f t="shared" si="0"/>
        <v>0</v>
      </c>
      <c r="T8" s="770" t="s">
        <v>23</v>
      </c>
      <c r="U8" s="771">
        <f t="shared" si="1"/>
        <v>0</v>
      </c>
      <c r="V8" s="770" t="s">
        <v>23</v>
      </c>
      <c r="W8" s="771">
        <f t="shared" si="2"/>
        <v>0</v>
      </c>
      <c r="X8" s="772"/>
      <c r="Y8" s="3206" t="s">
        <v>2546</v>
      </c>
      <c r="Z8" s="3207"/>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76" t="s">
        <v>2549</v>
      </c>
      <c r="Q9" s="1794" t="str">
        <f t="shared" ref="Q9:Q15" si="6">B9</f>
        <v>用途</v>
      </c>
      <c r="R9" s="770" t="s">
        <v>17</v>
      </c>
      <c r="S9" s="771">
        <f t="shared" si="0"/>
        <v>100</v>
      </c>
      <c r="T9" s="770" t="s">
        <v>17</v>
      </c>
      <c r="U9" s="771">
        <f t="shared" si="1"/>
        <v>100</v>
      </c>
      <c r="V9" s="770" t="s">
        <v>17</v>
      </c>
      <c r="W9" s="771">
        <f t="shared" si="2"/>
        <v>100</v>
      </c>
      <c r="X9" s="772"/>
      <c r="Y9" s="3024" t="s">
        <v>2550</v>
      </c>
      <c r="Z9" s="55" t="str">
        <f t="shared" ref="Z9:Z15" si="7">Q9</f>
        <v>用途</v>
      </c>
      <c r="AA9" s="773">
        <f t="shared" si="3"/>
        <v>1</v>
      </c>
      <c r="AB9" s="773">
        <f t="shared" si="4"/>
        <v>1</v>
      </c>
      <c r="AC9" s="773">
        <f t="shared" si="5"/>
        <v>1</v>
      </c>
    </row>
    <row r="10" spans="1:29" s="427" customFormat="1" ht="28">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6"/>
      <c r="Q10" s="1794"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6"/>
      <c r="Q11" s="1794" t="str">
        <f t="shared" si="6"/>
        <v>容积率</v>
      </c>
      <c r="R11" s="770" t="s">
        <v>21</v>
      </c>
      <c r="S11" s="771" t="e">
        <f t="shared" si="0"/>
        <v>#N/A</v>
      </c>
      <c r="T11" s="770" t="s">
        <v>21</v>
      </c>
      <c r="U11" s="771" t="e">
        <f t="shared" si="1"/>
        <v>#N/A</v>
      </c>
      <c r="V11" s="770" t="s">
        <v>21</v>
      </c>
      <c r="W11" s="771" t="e">
        <f t="shared" si="2"/>
        <v>#N/A</v>
      </c>
      <c r="X11" s="772"/>
      <c r="Y11" s="3024"/>
      <c r="Z11" s="55" t="str">
        <f t="shared" si="7"/>
        <v>容积率</v>
      </c>
      <c r="AA11" s="773" t="e">
        <f t="shared" si="3"/>
        <v>#N/A</v>
      </c>
      <c r="AB11" s="773" t="e">
        <f t="shared" si="4"/>
        <v>#N/A</v>
      </c>
      <c r="AC11" s="773" t="e">
        <f t="shared" si="5"/>
        <v>#N/A</v>
      </c>
    </row>
    <row r="12" spans="1:29" s="117" customFormat="1" ht="15.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76"/>
      <c r="Q12" s="1794">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76"/>
      <c r="Q13" s="1794">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6"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76"/>
      <c r="Q14" s="1794">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98">
      <c r="A15" s="440" t="s">
        <v>2553</v>
      </c>
      <c r="B15" s="69" t="s">
        <v>2082</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6" t="s">
        <v>2554</v>
      </c>
      <c r="Q15" s="1809" t="str">
        <f t="shared" si="6"/>
        <v>居住社区成熟度</v>
      </c>
      <c r="R15" s="774" t="s">
        <v>21</v>
      </c>
      <c r="S15" s="775">
        <f t="shared" si="0"/>
        <v>100</v>
      </c>
      <c r="T15" s="774" t="s">
        <v>21</v>
      </c>
      <c r="U15" s="775">
        <f t="shared" si="1"/>
        <v>100</v>
      </c>
      <c r="V15" s="774" t="s">
        <v>21</v>
      </c>
      <c r="W15" s="775">
        <f t="shared" si="2"/>
        <v>100</v>
      </c>
      <c r="X15" s="1812"/>
      <c r="Y15" s="3179" t="s">
        <v>2554</v>
      </c>
      <c r="Z15" s="1813" t="str">
        <f t="shared" si="7"/>
        <v>居住社区成熟度</v>
      </c>
      <c r="AA15" s="1810">
        <f t="shared" si="3"/>
        <v>1</v>
      </c>
      <c r="AB15" s="1810">
        <f t="shared" si="4"/>
        <v>1</v>
      </c>
      <c r="AC15" s="1810">
        <f t="shared" si="5"/>
        <v>1</v>
      </c>
    </row>
    <row r="16" spans="1:29" ht="15.5">
      <c r="A16" s="428"/>
      <c r="B16" s="446"/>
      <c r="C16" s="447"/>
      <c r="D16" s="448"/>
      <c r="E16" s="2604"/>
      <c r="F16" s="448"/>
      <c r="G16" s="2605"/>
      <c r="H16" s="450"/>
      <c r="I16" s="2605"/>
      <c r="J16" s="448"/>
      <c r="K16" s="2606"/>
      <c r="L16" s="1140"/>
      <c r="M16" s="1131"/>
      <c r="N16" s="1131"/>
      <c r="O16" s="1131"/>
      <c r="P16" s="3247"/>
      <c r="Q16" s="1809"/>
      <c r="R16" s="774"/>
      <c r="S16" s="775"/>
      <c r="T16" s="774"/>
      <c r="U16" s="775"/>
      <c r="V16" s="774"/>
      <c r="W16" s="775"/>
      <c r="X16" s="1812"/>
      <c r="Y16" s="3180"/>
      <c r="Z16" s="1813"/>
      <c r="AA16" s="1810">
        <v>1</v>
      </c>
      <c r="AB16" s="1810">
        <v>1</v>
      </c>
      <c r="AC16" s="1810">
        <v>1</v>
      </c>
    </row>
    <row r="17" spans="1:29" ht="84">
      <c r="A17" s="428"/>
      <c r="B17" s="451" t="s">
        <v>2094</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7"/>
      <c r="Q17" s="1809" t="str">
        <f>B17</f>
        <v>交通便捷度</v>
      </c>
      <c r="R17" s="774" t="s">
        <v>21</v>
      </c>
      <c r="S17" s="775">
        <f>F17</f>
        <v>100</v>
      </c>
      <c r="T17" s="774" t="s">
        <v>21</v>
      </c>
      <c r="U17" s="775">
        <f>H17</f>
        <v>100</v>
      </c>
      <c r="V17" s="774" t="s">
        <v>21</v>
      </c>
      <c r="W17" s="775">
        <f>J17</f>
        <v>100</v>
      </c>
      <c r="X17" s="1812"/>
      <c r="Y17" s="3180"/>
      <c r="Z17" s="1813" t="str">
        <f>Q17</f>
        <v>交通便捷度</v>
      </c>
      <c r="AA17" s="1810">
        <f t="shared" si="3"/>
        <v>1</v>
      </c>
      <c r="AB17" s="1810">
        <f t="shared" si="4"/>
        <v>1</v>
      </c>
      <c r="AC17" s="1810">
        <f t="shared" si="5"/>
        <v>1</v>
      </c>
    </row>
    <row r="18" spans="1:29" ht="15.5">
      <c r="A18" s="428"/>
      <c r="B18" s="456"/>
      <c r="C18" s="2608"/>
      <c r="D18" s="450"/>
      <c r="E18" s="2609"/>
      <c r="F18" s="450"/>
      <c r="G18" s="2610"/>
      <c r="H18" s="448"/>
      <c r="I18" s="2610"/>
      <c r="J18" s="448"/>
      <c r="K18" s="2606"/>
      <c r="L18" s="1140"/>
      <c r="M18" s="1131"/>
      <c r="N18" s="1131"/>
      <c r="O18" s="1131"/>
      <c r="P18" s="3247"/>
      <c r="Q18" s="1809"/>
      <c r="R18" s="774"/>
      <c r="S18" s="775"/>
      <c r="T18" s="774"/>
      <c r="U18" s="775"/>
      <c r="V18" s="774"/>
      <c r="W18" s="775"/>
      <c r="X18" s="1812"/>
      <c r="Y18" s="3180"/>
      <c r="Z18" s="1813"/>
      <c r="AA18" s="1810">
        <v>1</v>
      </c>
      <c r="AB18" s="1810">
        <v>1</v>
      </c>
      <c r="AC18" s="1810">
        <v>1</v>
      </c>
    </row>
    <row r="19" spans="1:29" ht="42">
      <c r="A19" s="428"/>
      <c r="B19" s="451" t="s">
        <v>2092</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7"/>
      <c r="Q19" s="1809" t="str">
        <f>B19</f>
        <v>公共配套设施</v>
      </c>
      <c r="R19" s="774" t="s">
        <v>21</v>
      </c>
      <c r="S19" s="775">
        <f>F19</f>
        <v>100</v>
      </c>
      <c r="T19" s="774" t="s">
        <v>21</v>
      </c>
      <c r="U19" s="775">
        <f>H19</f>
        <v>100</v>
      </c>
      <c r="V19" s="774" t="s">
        <v>21</v>
      </c>
      <c r="W19" s="775">
        <f>J19</f>
        <v>100</v>
      </c>
      <c r="X19" s="1812"/>
      <c r="Y19" s="3180"/>
      <c r="Z19" s="1813" t="str">
        <f>Q19</f>
        <v>公共配套设施</v>
      </c>
      <c r="AA19" s="1810">
        <f t="shared" si="3"/>
        <v>1</v>
      </c>
      <c r="AB19" s="1810">
        <f t="shared" si="4"/>
        <v>1</v>
      </c>
      <c r="AC19" s="1810">
        <f t="shared" si="5"/>
        <v>1</v>
      </c>
    </row>
    <row r="20" spans="1:29" ht="15.5">
      <c r="A20" s="428"/>
      <c r="B20" s="456"/>
      <c r="C20" s="447"/>
      <c r="D20" s="448"/>
      <c r="E20" s="2604"/>
      <c r="F20" s="448"/>
      <c r="G20" s="2605"/>
      <c r="H20" s="448"/>
      <c r="I20" s="2605"/>
      <c r="J20" s="448"/>
      <c r="K20" s="2606"/>
      <c r="L20" s="1140"/>
      <c r="M20" s="1131"/>
      <c r="N20" s="1131"/>
      <c r="O20" s="1131"/>
      <c r="P20" s="3247"/>
      <c r="Q20" s="1809"/>
      <c r="R20" s="774"/>
      <c r="S20" s="775"/>
      <c r="T20" s="774"/>
      <c r="U20" s="775"/>
      <c r="V20" s="774"/>
      <c r="W20" s="775"/>
      <c r="X20" s="1812"/>
      <c r="Y20" s="3180"/>
      <c r="Z20" s="1813"/>
      <c r="AA20" s="1810">
        <v>1</v>
      </c>
      <c r="AB20" s="1810">
        <v>1</v>
      </c>
      <c r="AC20" s="1810">
        <v>1</v>
      </c>
    </row>
    <row r="21" spans="1:29" ht="28">
      <c r="A21" s="428"/>
      <c r="B21" s="1384" t="s">
        <v>2095</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7"/>
      <c r="Q21" s="1809" t="str">
        <f>B21</f>
        <v>基础设施水平</v>
      </c>
      <c r="R21" s="774" t="s">
        <v>17</v>
      </c>
      <c r="S21" s="775">
        <f>F21</f>
        <v>100</v>
      </c>
      <c r="T21" s="774" t="s">
        <v>17</v>
      </c>
      <c r="U21" s="775">
        <f>H21</f>
        <v>100</v>
      </c>
      <c r="V21" s="774" t="s">
        <v>17</v>
      </c>
      <c r="W21" s="775">
        <f>J21</f>
        <v>100</v>
      </c>
      <c r="X21" s="1812"/>
      <c r="Y21" s="3180"/>
      <c r="Z21" s="1813" t="str">
        <f>Q21</f>
        <v>基础设施水平</v>
      </c>
      <c r="AA21" s="1810">
        <f>D21/F21</f>
        <v>1</v>
      </c>
      <c r="AB21" s="1810">
        <f>D21/H21</f>
        <v>1</v>
      </c>
      <c r="AC21" s="1810">
        <f>D21/J21</f>
        <v>1</v>
      </c>
    </row>
    <row r="22" spans="1:29" ht="15.5">
      <c r="A22" s="428"/>
      <c r="B22" s="1384"/>
      <c r="C22" s="2608"/>
      <c r="D22" s="448"/>
      <c r="E22" s="447"/>
      <c r="F22" s="448"/>
      <c r="G22" s="2611"/>
      <c r="H22" s="448"/>
      <c r="I22" s="447"/>
      <c r="J22" s="448"/>
      <c r="K22" s="2612"/>
      <c r="L22" s="1140"/>
      <c r="M22" s="1131"/>
      <c r="N22" s="1131"/>
      <c r="O22" s="1131"/>
      <c r="P22" s="3247"/>
      <c r="Q22" s="1809"/>
      <c r="R22" s="774"/>
      <c r="S22" s="775"/>
      <c r="T22" s="774"/>
      <c r="U22" s="775"/>
      <c r="V22" s="774"/>
      <c r="W22" s="775"/>
      <c r="X22" s="1812"/>
      <c r="Y22" s="3180"/>
      <c r="Z22" s="1813"/>
      <c r="AA22" s="1810">
        <v>1</v>
      </c>
      <c r="AB22" s="1810">
        <v>1</v>
      </c>
      <c r="AC22" s="1810">
        <v>1</v>
      </c>
    </row>
    <row r="23" spans="1:29" ht="56">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7"/>
      <c r="Q23" s="1809" t="str">
        <f>B23</f>
        <v>自然及人文环境</v>
      </c>
      <c r="R23" s="774" t="s">
        <v>21</v>
      </c>
      <c r="S23" s="775">
        <f>F23</f>
        <v>100</v>
      </c>
      <c r="T23" s="774" t="s">
        <v>21</v>
      </c>
      <c r="U23" s="775">
        <f>H23</f>
        <v>100</v>
      </c>
      <c r="V23" s="774" t="s">
        <v>21</v>
      </c>
      <c r="W23" s="775">
        <f>J23</f>
        <v>100</v>
      </c>
      <c r="X23" s="1812"/>
      <c r="Y23" s="3180"/>
      <c r="Z23" s="1813" t="str">
        <f>Q23</f>
        <v>自然及人文环境</v>
      </c>
      <c r="AA23" s="1810">
        <f>D23/F23</f>
        <v>1</v>
      </c>
      <c r="AB23" s="1810">
        <f>D23/H23</f>
        <v>1</v>
      </c>
      <c r="AC23" s="1810">
        <f>D23/J23</f>
        <v>1</v>
      </c>
    </row>
    <row r="24" spans="1:29" ht="15.5">
      <c r="A24" s="428"/>
      <c r="B24" s="456"/>
      <c r="C24" s="447"/>
      <c r="D24" s="448"/>
      <c r="E24" s="2604"/>
      <c r="F24" s="448"/>
      <c r="G24" s="2605"/>
      <c r="H24" s="448"/>
      <c r="I24" s="2605"/>
      <c r="J24" s="448"/>
      <c r="K24" s="2606"/>
      <c r="L24" s="1140"/>
      <c r="M24" s="1131"/>
      <c r="N24" s="1131"/>
      <c r="O24" s="1131"/>
      <c r="P24" s="3247"/>
      <c r="Q24" s="1809"/>
      <c r="R24" s="774"/>
      <c r="S24" s="775"/>
      <c r="T24" s="774"/>
      <c r="U24" s="775"/>
      <c r="V24" s="774"/>
      <c r="W24" s="775"/>
      <c r="X24" s="1812"/>
      <c r="Y24" s="3180"/>
      <c r="Z24" s="1813"/>
      <c r="AA24" s="1810">
        <v>1</v>
      </c>
      <c r="AB24" s="1810">
        <v>1</v>
      </c>
      <c r="AC24" s="1810">
        <v>1</v>
      </c>
    </row>
    <row r="25" spans="1:29" ht="15.5">
      <c r="A25" s="428"/>
      <c r="B25" s="422" t="s">
        <v>2555</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47"/>
      <c r="Q25" s="1809" t="str">
        <f t="shared" ref="Q25:Q46" si="8">B25</f>
        <v>楼层-1</v>
      </c>
      <c r="R25" s="774" t="s">
        <v>21</v>
      </c>
      <c r="S25" s="775">
        <f t="shared" ref="S25:S46" si="9">F25</f>
        <v>100</v>
      </c>
      <c r="T25" s="774" t="s">
        <v>21</v>
      </c>
      <c r="U25" s="775">
        <f t="shared" ref="U25:U46" si="10">H25</f>
        <v>100</v>
      </c>
      <c r="V25" s="774" t="s">
        <v>21</v>
      </c>
      <c r="W25" s="775">
        <f t="shared" ref="W25:W46" si="11">J25</f>
        <v>100</v>
      </c>
      <c r="X25" s="1812"/>
      <c r="Y25" s="3180"/>
      <c r="Z25" s="1813" t="str">
        <f>Q25</f>
        <v>楼层-1</v>
      </c>
      <c r="AA25" s="1810">
        <f t="shared" ref="AA25:AA46" si="12">D25/F25</f>
        <v>1</v>
      </c>
      <c r="AB25" s="1810">
        <f t="shared" ref="AB25:AB46" si="13">D25/H25</f>
        <v>1</v>
      </c>
      <c r="AC25" s="1810">
        <f t="shared" ref="AC25:AC46" si="14">D25/J25</f>
        <v>1</v>
      </c>
    </row>
    <row r="26" spans="1:29" ht="15.5">
      <c r="A26" s="428"/>
      <c r="B26" s="422" t="s">
        <v>2556</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47"/>
      <c r="Q26" s="1809" t="str">
        <f t="shared" si="8"/>
        <v>朝向</v>
      </c>
      <c r="R26" s="774" t="s">
        <v>21</v>
      </c>
      <c r="S26" s="775">
        <f t="shared" si="9"/>
        <v>100</v>
      </c>
      <c r="T26" s="774" t="s">
        <v>21</v>
      </c>
      <c r="U26" s="775">
        <f t="shared" si="10"/>
        <v>100</v>
      </c>
      <c r="V26" s="774" t="s">
        <v>21</v>
      </c>
      <c r="W26" s="775">
        <f t="shared" si="11"/>
        <v>100</v>
      </c>
      <c r="X26" s="1812"/>
      <c r="Y26" s="3180"/>
      <c r="Z26" s="1813" t="str">
        <f>Q26</f>
        <v>朝向</v>
      </c>
      <c r="AA26" s="1810">
        <f t="shared" si="12"/>
        <v>1</v>
      </c>
      <c r="AB26" s="1810">
        <f t="shared" si="13"/>
        <v>1</v>
      </c>
      <c r="AC26" s="1810">
        <f t="shared" si="14"/>
        <v>1</v>
      </c>
    </row>
    <row r="27" spans="1:29" s="117" customFormat="1" ht="15.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47"/>
      <c r="Q27" s="1794">
        <f t="shared" si="8"/>
        <v>111</v>
      </c>
      <c r="R27" s="770" t="s">
        <v>21</v>
      </c>
      <c r="S27" s="771">
        <f t="shared" si="9"/>
        <v>100</v>
      </c>
      <c r="T27" s="770" t="s">
        <v>21</v>
      </c>
      <c r="U27" s="771">
        <f t="shared" si="10"/>
        <v>100</v>
      </c>
      <c r="V27" s="770" t="s">
        <v>21</v>
      </c>
      <c r="W27" s="771">
        <f t="shared" si="11"/>
        <v>100</v>
      </c>
      <c r="X27" s="772"/>
      <c r="Y27" s="3180"/>
      <c r="Z27" s="55">
        <f>Q27</f>
        <v>111</v>
      </c>
      <c r="AA27" s="1810">
        <f t="shared" si="12"/>
        <v>1</v>
      </c>
      <c r="AB27" s="1810">
        <f t="shared" si="13"/>
        <v>1</v>
      </c>
      <c r="AC27" s="1810">
        <f t="shared" si="14"/>
        <v>1</v>
      </c>
    </row>
    <row r="28" spans="1:29" ht="15.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47"/>
      <c r="Q28" s="1809">
        <f t="shared" si="8"/>
        <v>111</v>
      </c>
      <c r="R28" s="774" t="s">
        <v>21</v>
      </c>
      <c r="S28" s="775">
        <f t="shared" si="9"/>
        <v>100</v>
      </c>
      <c r="T28" s="774" t="s">
        <v>21</v>
      </c>
      <c r="U28" s="775">
        <f t="shared" si="10"/>
        <v>100</v>
      </c>
      <c r="V28" s="774" t="s">
        <v>21</v>
      </c>
      <c r="W28" s="775">
        <f t="shared" si="11"/>
        <v>100</v>
      </c>
      <c r="X28" s="1812"/>
      <c r="Y28" s="3180"/>
      <c r="Z28" s="1813">
        <f t="shared" ref="Z28:Z46" si="15">Q28</f>
        <v>111</v>
      </c>
      <c r="AA28" s="1810">
        <f t="shared" si="12"/>
        <v>1</v>
      </c>
      <c r="AB28" s="1810">
        <f t="shared" si="13"/>
        <v>1</v>
      </c>
      <c r="AC28" s="1810">
        <f t="shared" si="14"/>
        <v>1</v>
      </c>
    </row>
    <row r="29" spans="1:29" ht="15.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47"/>
      <c r="Q29" s="1809">
        <f t="shared" si="8"/>
        <v>111</v>
      </c>
      <c r="R29" s="774" t="s">
        <v>21</v>
      </c>
      <c r="S29" s="775">
        <f t="shared" si="9"/>
        <v>100</v>
      </c>
      <c r="T29" s="774" t="s">
        <v>21</v>
      </c>
      <c r="U29" s="775">
        <f t="shared" si="10"/>
        <v>100</v>
      </c>
      <c r="V29" s="774" t="s">
        <v>21</v>
      </c>
      <c r="W29" s="775">
        <f t="shared" si="11"/>
        <v>100</v>
      </c>
      <c r="X29" s="1812"/>
      <c r="Y29" s="3180"/>
      <c r="Z29" s="1813">
        <f t="shared" si="15"/>
        <v>111</v>
      </c>
      <c r="AA29" s="1810">
        <f t="shared" si="12"/>
        <v>1</v>
      </c>
      <c r="AB29" s="1810">
        <f t="shared" si="13"/>
        <v>1</v>
      </c>
      <c r="AC29" s="1810">
        <f t="shared" si="14"/>
        <v>1</v>
      </c>
    </row>
    <row r="30" spans="1:29" ht="15.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47"/>
      <c r="Q30" s="1809">
        <f t="shared" si="8"/>
        <v>111</v>
      </c>
      <c r="R30" s="774" t="s">
        <v>21</v>
      </c>
      <c r="S30" s="775">
        <f t="shared" si="9"/>
        <v>100</v>
      </c>
      <c r="T30" s="774" t="s">
        <v>21</v>
      </c>
      <c r="U30" s="775">
        <f t="shared" si="10"/>
        <v>100</v>
      </c>
      <c r="V30" s="774" t="s">
        <v>21</v>
      </c>
      <c r="W30" s="775">
        <f t="shared" si="11"/>
        <v>100</v>
      </c>
      <c r="X30" s="1812"/>
      <c r="Y30" s="3180"/>
      <c r="Z30" s="1813">
        <f t="shared" si="15"/>
        <v>111</v>
      </c>
      <c r="AA30" s="1810">
        <f t="shared" si="12"/>
        <v>1</v>
      </c>
      <c r="AB30" s="1810">
        <f t="shared" si="13"/>
        <v>1</v>
      </c>
      <c r="AC30" s="1810">
        <f t="shared" si="14"/>
        <v>1</v>
      </c>
    </row>
    <row r="31" spans="1:29" ht="16"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47"/>
      <c r="Q31" s="1809">
        <f t="shared" si="8"/>
        <v>111</v>
      </c>
      <c r="R31" s="774" t="s">
        <v>21</v>
      </c>
      <c r="S31" s="775">
        <f t="shared" si="9"/>
        <v>100</v>
      </c>
      <c r="T31" s="774" t="s">
        <v>21</v>
      </c>
      <c r="U31" s="775">
        <f t="shared" si="10"/>
        <v>100</v>
      </c>
      <c r="V31" s="774" t="s">
        <v>21</v>
      </c>
      <c r="W31" s="775">
        <f t="shared" si="11"/>
        <v>100</v>
      </c>
      <c r="X31" s="1812"/>
      <c r="Y31" s="3180"/>
      <c r="Z31" s="1813">
        <f t="shared" si="15"/>
        <v>111</v>
      </c>
      <c r="AA31" s="1810">
        <f t="shared" si="12"/>
        <v>1</v>
      </c>
      <c r="AB31" s="1810">
        <f t="shared" si="13"/>
        <v>1</v>
      </c>
      <c r="AC31" s="1810">
        <f t="shared" si="14"/>
        <v>1</v>
      </c>
    </row>
    <row r="32" spans="1:29" ht="15.5">
      <c r="A32" s="440" t="s">
        <v>2557</v>
      </c>
      <c r="B32" s="71" t="s">
        <v>2558</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42" t="s">
        <v>2559</v>
      </c>
      <c r="Q32" s="1809" t="str">
        <f t="shared" si="8"/>
        <v>建筑类型</v>
      </c>
      <c r="R32" s="774" t="s">
        <v>21</v>
      </c>
      <c r="S32" s="775">
        <f t="shared" si="9"/>
        <v>100</v>
      </c>
      <c r="T32" s="774" t="s">
        <v>21</v>
      </c>
      <c r="U32" s="775">
        <f t="shared" si="10"/>
        <v>100</v>
      </c>
      <c r="V32" s="774" t="s">
        <v>21</v>
      </c>
      <c r="W32" s="775">
        <f t="shared" si="11"/>
        <v>100</v>
      </c>
      <c r="X32" s="1812"/>
      <c r="Y32" s="3182" t="s">
        <v>2559</v>
      </c>
      <c r="Z32" s="1813" t="str">
        <f t="shared" si="15"/>
        <v>建筑类型</v>
      </c>
      <c r="AA32" s="1810">
        <f t="shared" si="12"/>
        <v>1</v>
      </c>
      <c r="AB32" s="1810">
        <f t="shared" si="13"/>
        <v>1</v>
      </c>
      <c r="AC32" s="1810">
        <f t="shared" si="14"/>
        <v>1</v>
      </c>
    </row>
    <row r="33" spans="1:29" s="471" customFormat="1" ht="15.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43"/>
      <c r="Q33" s="776" t="str">
        <f t="shared" si="8"/>
        <v>项目建筑规模</v>
      </c>
      <c r="R33" s="777" t="s">
        <v>21</v>
      </c>
      <c r="S33" s="778" t="e">
        <f t="shared" si="9"/>
        <v>#N/A</v>
      </c>
      <c r="T33" s="777" t="s">
        <v>21</v>
      </c>
      <c r="U33" s="778" t="e">
        <f t="shared" si="10"/>
        <v>#N/A</v>
      </c>
      <c r="V33" s="777" t="s">
        <v>21</v>
      </c>
      <c r="W33" s="778" t="e">
        <f t="shared" si="11"/>
        <v>#N/A</v>
      </c>
      <c r="X33" s="779"/>
      <c r="Y33" s="3182"/>
      <c r="Z33" s="780" t="str">
        <f t="shared" si="15"/>
        <v>项目建筑规模</v>
      </c>
      <c r="AA33" s="1810" t="e">
        <f t="shared" si="12"/>
        <v>#N/A</v>
      </c>
      <c r="AB33" s="1810" t="e">
        <f t="shared" si="13"/>
        <v>#N/A</v>
      </c>
      <c r="AC33" s="1810" t="e">
        <f t="shared" si="14"/>
        <v>#N/A</v>
      </c>
    </row>
    <row r="34" spans="1:29" ht="15.5">
      <c r="A34" s="472"/>
      <c r="B34" s="422" t="s">
        <v>2561</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43"/>
      <c r="Q34" s="1809" t="str">
        <f t="shared" si="8"/>
        <v>建筑结构</v>
      </c>
      <c r="R34" s="774" t="s">
        <v>21</v>
      </c>
      <c r="S34" s="775">
        <f t="shared" si="9"/>
        <v>100</v>
      </c>
      <c r="T34" s="774" t="s">
        <v>21</v>
      </c>
      <c r="U34" s="775">
        <f t="shared" si="10"/>
        <v>100</v>
      </c>
      <c r="V34" s="774" t="s">
        <v>21</v>
      </c>
      <c r="W34" s="775">
        <f t="shared" si="11"/>
        <v>100</v>
      </c>
      <c r="X34" s="1812"/>
      <c r="Y34" s="3182"/>
      <c r="Z34" s="1813" t="str">
        <f t="shared" si="15"/>
        <v>建筑结构</v>
      </c>
      <c r="AA34" s="1810">
        <f t="shared" si="12"/>
        <v>1</v>
      </c>
      <c r="AB34" s="1810">
        <f t="shared" si="13"/>
        <v>1</v>
      </c>
      <c r="AC34" s="1810">
        <f t="shared" si="14"/>
        <v>1</v>
      </c>
    </row>
    <row r="35" spans="1:29" ht="15.5">
      <c r="A35" s="472"/>
      <c r="B35" s="422" t="s">
        <v>2562</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43"/>
      <c r="Q35" s="1809" t="str">
        <f t="shared" si="8"/>
        <v>建筑品质</v>
      </c>
      <c r="R35" s="774" t="s">
        <v>21</v>
      </c>
      <c r="S35" s="775">
        <f t="shared" si="9"/>
        <v>100</v>
      </c>
      <c r="T35" s="774" t="s">
        <v>21</v>
      </c>
      <c r="U35" s="775">
        <f t="shared" si="10"/>
        <v>100</v>
      </c>
      <c r="V35" s="774" t="s">
        <v>21</v>
      </c>
      <c r="W35" s="775">
        <f t="shared" si="11"/>
        <v>100</v>
      </c>
      <c r="X35" s="1812"/>
      <c r="Y35" s="3182"/>
      <c r="Z35" s="1813" t="str">
        <f t="shared" si="15"/>
        <v>建筑品质</v>
      </c>
      <c r="AA35" s="1810">
        <f t="shared" si="12"/>
        <v>1</v>
      </c>
      <c r="AB35" s="1810">
        <f t="shared" si="13"/>
        <v>1</v>
      </c>
      <c r="AC35" s="1810">
        <f t="shared" si="14"/>
        <v>1</v>
      </c>
    </row>
    <row r="36" spans="1:29" ht="15.5">
      <c r="A36" s="472"/>
      <c r="B36" s="422" t="s">
        <v>2563</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43"/>
      <c r="Q36" s="1809" t="str">
        <f t="shared" si="8"/>
        <v>公共部分装修</v>
      </c>
      <c r="R36" s="774" t="s">
        <v>21</v>
      </c>
      <c r="S36" s="775">
        <f t="shared" si="9"/>
        <v>100</v>
      </c>
      <c r="T36" s="774" t="s">
        <v>21</v>
      </c>
      <c r="U36" s="775">
        <f t="shared" si="10"/>
        <v>100</v>
      </c>
      <c r="V36" s="774" t="s">
        <v>21</v>
      </c>
      <c r="W36" s="775">
        <f t="shared" si="11"/>
        <v>100</v>
      </c>
      <c r="X36" s="1812"/>
      <c r="Y36" s="3182"/>
      <c r="Z36" s="1813" t="str">
        <f t="shared" si="15"/>
        <v>公共部分装修</v>
      </c>
      <c r="AA36" s="1810">
        <f t="shared" si="12"/>
        <v>1</v>
      </c>
      <c r="AB36" s="1810">
        <f t="shared" si="13"/>
        <v>1</v>
      </c>
      <c r="AC36" s="1810">
        <f t="shared" si="14"/>
        <v>1</v>
      </c>
    </row>
    <row r="37" spans="1:29" s="117" customFormat="1" ht="15.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3"/>
      <c r="Q37" s="1794" t="str">
        <f t="shared" si="8"/>
        <v>成新度</v>
      </c>
      <c r="R37" s="770" t="s">
        <v>21</v>
      </c>
      <c r="S37" s="771" t="e">
        <f t="shared" si="9"/>
        <v>#N/A</v>
      </c>
      <c r="T37" s="770" t="s">
        <v>21</v>
      </c>
      <c r="U37" s="771" t="e">
        <f t="shared" si="10"/>
        <v>#N/A</v>
      </c>
      <c r="V37" s="770" t="s">
        <v>21</v>
      </c>
      <c r="W37" s="771" t="e">
        <f t="shared" si="11"/>
        <v>#N/A</v>
      </c>
      <c r="X37" s="772"/>
      <c r="Y37" s="3182"/>
      <c r="Z37" s="55" t="str">
        <f t="shared" si="15"/>
        <v>成新度</v>
      </c>
      <c r="AA37" s="773" t="e">
        <f t="shared" si="12"/>
        <v>#N/A</v>
      </c>
      <c r="AB37" s="773" t="e">
        <f t="shared" si="13"/>
        <v>#N/A</v>
      </c>
      <c r="AC37" s="773" t="e">
        <f t="shared" si="14"/>
        <v>#N/A</v>
      </c>
    </row>
    <row r="38" spans="1:29" ht="15.5">
      <c r="A38" s="472"/>
      <c r="B38" s="422" t="s">
        <v>2565</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43" t="s">
        <v>2559</v>
      </c>
      <c r="Q38" s="1809" t="str">
        <f t="shared" si="8"/>
        <v>物业管理</v>
      </c>
      <c r="R38" s="774" t="s">
        <v>21</v>
      </c>
      <c r="S38" s="775">
        <f t="shared" si="9"/>
        <v>100</v>
      </c>
      <c r="T38" s="774" t="s">
        <v>21</v>
      </c>
      <c r="U38" s="775">
        <f t="shared" si="10"/>
        <v>100</v>
      </c>
      <c r="V38" s="774" t="s">
        <v>21</v>
      </c>
      <c r="W38" s="775">
        <f t="shared" si="11"/>
        <v>100</v>
      </c>
      <c r="X38" s="1812"/>
      <c r="Y38" s="3182" t="s">
        <v>2559</v>
      </c>
      <c r="Z38" s="1813" t="str">
        <f t="shared" si="15"/>
        <v>物业管理</v>
      </c>
      <c r="AA38" s="1810">
        <f t="shared" si="12"/>
        <v>1</v>
      </c>
      <c r="AB38" s="1810">
        <f t="shared" si="13"/>
        <v>1</v>
      </c>
      <c r="AC38" s="1810">
        <f t="shared" si="14"/>
        <v>1</v>
      </c>
    </row>
    <row r="39" spans="1:29" ht="15.5">
      <c r="A39" s="472"/>
      <c r="B39" s="422" t="s">
        <v>2566</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43"/>
      <c r="Q39" s="1809" t="str">
        <f t="shared" si="8"/>
        <v>市政基础设施</v>
      </c>
      <c r="R39" s="774" t="s">
        <v>21</v>
      </c>
      <c r="S39" s="775">
        <f t="shared" si="9"/>
        <v>100</v>
      </c>
      <c r="T39" s="774" t="s">
        <v>21</v>
      </c>
      <c r="U39" s="775">
        <f t="shared" si="10"/>
        <v>100</v>
      </c>
      <c r="V39" s="774" t="s">
        <v>21</v>
      </c>
      <c r="W39" s="775">
        <f t="shared" si="11"/>
        <v>100</v>
      </c>
      <c r="X39" s="1812"/>
      <c r="Y39" s="3182"/>
      <c r="Z39" s="1813" t="str">
        <f t="shared" si="15"/>
        <v>市政基础设施</v>
      </c>
      <c r="AA39" s="1810">
        <f t="shared" si="12"/>
        <v>1</v>
      </c>
      <c r="AB39" s="1810">
        <f t="shared" si="13"/>
        <v>1</v>
      </c>
      <c r="AC39" s="1810">
        <f t="shared" si="14"/>
        <v>1</v>
      </c>
    </row>
    <row r="40" spans="1:29" ht="15.5">
      <c r="A40" s="472"/>
      <c r="B40" s="422" t="s">
        <v>2567</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43"/>
      <c r="Q40" s="1809" t="str">
        <f t="shared" si="8"/>
        <v>房型</v>
      </c>
      <c r="R40" s="774" t="s">
        <v>21</v>
      </c>
      <c r="S40" s="775">
        <f t="shared" si="9"/>
        <v>100</v>
      </c>
      <c r="T40" s="774" t="s">
        <v>21</v>
      </c>
      <c r="U40" s="775">
        <f t="shared" si="10"/>
        <v>100</v>
      </c>
      <c r="V40" s="774" t="s">
        <v>21</v>
      </c>
      <c r="W40" s="775">
        <f t="shared" si="11"/>
        <v>100</v>
      </c>
      <c r="X40" s="1812"/>
      <c r="Y40" s="3182"/>
      <c r="Z40" s="1813" t="str">
        <f t="shared" si="15"/>
        <v>房型</v>
      </c>
      <c r="AA40" s="1810">
        <f t="shared" si="12"/>
        <v>1</v>
      </c>
      <c r="AB40" s="1810">
        <f t="shared" si="13"/>
        <v>1</v>
      </c>
      <c r="AC40" s="1810">
        <f t="shared" si="14"/>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43"/>
      <c r="Q41" s="776" t="str">
        <f t="shared" si="8"/>
        <v>单套/主力户型建筑面积</v>
      </c>
      <c r="R41" s="777" t="s">
        <v>21</v>
      </c>
      <c r="S41" s="778">
        <f t="shared" si="9"/>
        <v>100</v>
      </c>
      <c r="T41" s="777" t="s">
        <v>21</v>
      </c>
      <c r="U41" s="778">
        <f t="shared" si="10"/>
        <v>100</v>
      </c>
      <c r="V41" s="777" t="s">
        <v>21</v>
      </c>
      <c r="W41" s="778">
        <f t="shared" si="11"/>
        <v>100</v>
      </c>
      <c r="X41" s="779"/>
      <c r="Y41" s="3182"/>
      <c r="Z41" s="780" t="str">
        <f t="shared" si="15"/>
        <v>单套/主力户型建筑面积</v>
      </c>
      <c r="AA41" s="1810">
        <f t="shared" si="12"/>
        <v>1</v>
      </c>
      <c r="AB41" s="1810">
        <f t="shared" si="13"/>
        <v>1</v>
      </c>
      <c r="AC41" s="1810">
        <f t="shared" si="14"/>
        <v>1</v>
      </c>
    </row>
    <row r="42" spans="1:29" ht="15.5">
      <c r="A42" s="472"/>
      <c r="B42" s="422" t="s">
        <v>2569</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43"/>
      <c r="Q42" s="1809" t="str">
        <f t="shared" si="8"/>
        <v>内部装修</v>
      </c>
      <c r="R42" s="774" t="s">
        <v>21</v>
      </c>
      <c r="S42" s="775">
        <f t="shared" si="9"/>
        <v>100</v>
      </c>
      <c r="T42" s="774" t="s">
        <v>21</v>
      </c>
      <c r="U42" s="775">
        <f t="shared" si="10"/>
        <v>100</v>
      </c>
      <c r="V42" s="774" t="s">
        <v>21</v>
      </c>
      <c r="W42" s="775">
        <f t="shared" si="11"/>
        <v>100</v>
      </c>
      <c r="X42" s="1812"/>
      <c r="Y42" s="3182"/>
      <c r="Z42" s="1813" t="str">
        <f t="shared" si="15"/>
        <v>内部装修</v>
      </c>
      <c r="AA42" s="1810">
        <f t="shared" si="12"/>
        <v>1</v>
      </c>
      <c r="AB42" s="1810">
        <f t="shared" si="13"/>
        <v>1</v>
      </c>
      <c r="AC42" s="1810">
        <f t="shared" si="14"/>
        <v>1</v>
      </c>
    </row>
    <row r="43" spans="1:29" ht="28">
      <c r="A43" s="472"/>
      <c r="B43" s="422" t="s">
        <v>2570</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43"/>
      <c r="Q43" s="1809" t="str">
        <f t="shared" si="8"/>
        <v>内部装修维护情况</v>
      </c>
      <c r="R43" s="774" t="s">
        <v>21</v>
      </c>
      <c r="S43" s="775">
        <f t="shared" si="9"/>
        <v>100</v>
      </c>
      <c r="T43" s="774" t="s">
        <v>21</v>
      </c>
      <c r="U43" s="775">
        <f t="shared" si="10"/>
        <v>100</v>
      </c>
      <c r="V43" s="774" t="s">
        <v>21</v>
      </c>
      <c r="W43" s="775">
        <f t="shared" si="11"/>
        <v>100</v>
      </c>
      <c r="X43" s="1812"/>
      <c r="Y43" s="3182"/>
      <c r="Z43" s="1813" t="str">
        <f t="shared" si="15"/>
        <v>内部装修维护情况</v>
      </c>
      <c r="AA43" s="1810">
        <f t="shared" si="12"/>
        <v>1</v>
      </c>
      <c r="AB43" s="1810">
        <f t="shared" si="13"/>
        <v>1</v>
      </c>
      <c r="AC43" s="1810">
        <f t="shared" si="14"/>
        <v>1</v>
      </c>
    </row>
    <row r="44" spans="1:29" s="117" customFormat="1" ht="15.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43"/>
      <c r="Q44" s="1794">
        <f t="shared" si="8"/>
        <v>111</v>
      </c>
      <c r="R44" s="770" t="s">
        <v>21</v>
      </c>
      <c r="S44" s="771">
        <f t="shared" si="9"/>
        <v>100</v>
      </c>
      <c r="T44" s="770" t="s">
        <v>21</v>
      </c>
      <c r="U44" s="771">
        <f t="shared" si="10"/>
        <v>100</v>
      </c>
      <c r="V44" s="770" t="s">
        <v>21</v>
      </c>
      <c r="W44" s="771">
        <f t="shared" si="11"/>
        <v>100</v>
      </c>
      <c r="X44" s="772"/>
      <c r="Y44" s="3182"/>
      <c r="Z44" s="55">
        <f t="shared" si="15"/>
        <v>111</v>
      </c>
      <c r="AA44" s="773">
        <f t="shared" si="12"/>
        <v>1</v>
      </c>
      <c r="AB44" s="773">
        <f t="shared" si="13"/>
        <v>1</v>
      </c>
      <c r="AC44" s="773">
        <f t="shared" si="14"/>
        <v>1</v>
      </c>
    </row>
    <row r="45" spans="1:29" ht="15.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43"/>
      <c r="Q45" s="1809">
        <f t="shared" si="8"/>
        <v>111</v>
      </c>
      <c r="R45" s="774" t="s">
        <v>21</v>
      </c>
      <c r="S45" s="775">
        <f t="shared" si="9"/>
        <v>100</v>
      </c>
      <c r="T45" s="774" t="s">
        <v>21</v>
      </c>
      <c r="U45" s="775">
        <f t="shared" si="10"/>
        <v>100</v>
      </c>
      <c r="V45" s="774" t="s">
        <v>21</v>
      </c>
      <c r="W45" s="775">
        <f t="shared" si="11"/>
        <v>100</v>
      </c>
      <c r="X45" s="1812"/>
      <c r="Y45" s="3182"/>
      <c r="Z45" s="1813">
        <f t="shared" si="15"/>
        <v>111</v>
      </c>
      <c r="AA45" s="1810">
        <f t="shared" si="12"/>
        <v>1</v>
      </c>
      <c r="AB45" s="1810">
        <f t="shared" si="13"/>
        <v>1</v>
      </c>
      <c r="AC45" s="1810">
        <f t="shared" si="14"/>
        <v>1</v>
      </c>
    </row>
    <row r="46" spans="1:29" ht="16"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44"/>
      <c r="Q46" s="1809">
        <f t="shared" si="8"/>
        <v>111</v>
      </c>
      <c r="R46" s="774" t="s">
        <v>20</v>
      </c>
      <c r="S46" s="775">
        <f t="shared" si="9"/>
        <v>100</v>
      </c>
      <c r="T46" s="774" t="s">
        <v>20</v>
      </c>
      <c r="U46" s="775">
        <f t="shared" si="10"/>
        <v>100</v>
      </c>
      <c r="V46" s="774" t="s">
        <v>20</v>
      </c>
      <c r="W46" s="775">
        <f t="shared" si="11"/>
        <v>100</v>
      </c>
      <c r="X46" s="1812"/>
      <c r="Y46" s="3245"/>
      <c r="Z46" s="1813">
        <f t="shared" si="15"/>
        <v>111</v>
      </c>
      <c r="AA46" s="1810">
        <f t="shared" si="12"/>
        <v>1</v>
      </c>
      <c r="AB46" s="1810">
        <f t="shared" si="13"/>
        <v>1</v>
      </c>
      <c r="AC46" s="1810">
        <f t="shared" si="14"/>
        <v>1</v>
      </c>
    </row>
    <row r="47" spans="1:29">
      <c r="A47" s="479" t="s">
        <v>2571</v>
      </c>
      <c r="B47" s="480"/>
      <c r="C47" s="1407" t="s">
        <v>19</v>
      </c>
      <c r="D47" s="1408"/>
      <c r="E47" s="1409"/>
      <c r="F47" s="1410"/>
      <c r="G47" s="1411"/>
      <c r="H47" s="1412"/>
      <c r="I47" s="1409"/>
      <c r="J47" s="1412"/>
      <c r="K47" s="2621"/>
      <c r="L47" s="1143"/>
      <c r="M47" s="1144"/>
      <c r="N47" s="1131"/>
      <c r="O47" s="1144"/>
      <c r="P47" s="3177" t="str">
        <f>A47</f>
        <v>成交单价（元/平方米）</v>
      </c>
      <c r="Q47" s="3177"/>
      <c r="R47" s="3241">
        <f>E47</f>
        <v>0</v>
      </c>
      <c r="S47" s="3241"/>
      <c r="T47" s="3241">
        <f>G47</f>
        <v>0</v>
      </c>
      <c r="U47" s="3241"/>
      <c r="V47" s="3241">
        <f>I47</f>
        <v>0</v>
      </c>
      <c r="W47" s="3241"/>
      <c r="X47" s="759"/>
      <c r="Y47" s="781"/>
      <c r="Z47" s="759"/>
      <c r="AA47" s="759"/>
      <c r="AB47" s="759"/>
      <c r="AC47" s="759"/>
    </row>
    <row r="48" spans="1:29" ht="14.5" thickBot="1">
      <c r="A48" s="486" t="s">
        <v>2572</v>
      </c>
      <c r="B48" s="487"/>
      <c r="C48" s="1413" t="e">
        <f>R49</f>
        <v>#DIV/0!</v>
      </c>
      <c r="D48" s="1414"/>
      <c r="E48" s="1415" t="e">
        <f>R48</f>
        <v>#DIV/0!</v>
      </c>
      <c r="F48" s="1415"/>
      <c r="G48" s="1413" t="e">
        <f>T48</f>
        <v>#DIV/0!</v>
      </c>
      <c r="H48" s="1414"/>
      <c r="I48" s="1415" t="e">
        <f>V48</f>
        <v>#DIV/0!</v>
      </c>
      <c r="J48" s="1414"/>
      <c r="K48" s="2622"/>
      <c r="L48" s="1143"/>
      <c r="M48" s="1144"/>
      <c r="N48" s="1144"/>
      <c r="O48" s="1144"/>
      <c r="P48" s="3177" t="str">
        <f>A48</f>
        <v>比较价值（元/平方米）</v>
      </c>
      <c r="Q48" s="3177"/>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4.5" thickBot="1">
      <c r="A49" s="492" t="s">
        <v>2573</v>
      </c>
      <c r="B49" s="493"/>
      <c r="C49" s="1416" t="e">
        <f>R49</f>
        <v>#DIV/0!</v>
      </c>
      <c r="D49" s="1417"/>
      <c r="E49" s="1417"/>
      <c r="F49" s="1417"/>
      <c r="G49" s="1417"/>
      <c r="H49" s="1417"/>
      <c r="I49" s="1417"/>
      <c r="J49" s="1417"/>
      <c r="K49" s="2623"/>
      <c r="L49" s="1143"/>
      <c r="M49" s="1144"/>
      <c r="N49" s="1144"/>
      <c r="O49" s="1144"/>
      <c r="P49" s="3171" t="str">
        <f>A49</f>
        <v>估价对象XX用房的比较价值（楼面单价，元/平方米）</v>
      </c>
      <c r="Q49" s="3172"/>
      <c r="R49" s="3240" t="e">
        <f>IF(F1="售价",ROUND(AVERAGE(R48:V48),0),ROUND(AVERAGE(R48:V48),1))</f>
        <v>#DIV/0!</v>
      </c>
      <c r="S49" s="3240"/>
      <c r="T49" s="3240"/>
      <c r="U49" s="3240"/>
      <c r="V49" s="3240"/>
      <c r="W49" s="324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5" thickBot="1">
      <c r="A57" s="763" t="s">
        <v>2577</v>
      </c>
      <c r="B57" s="759"/>
      <c r="C57" s="764"/>
      <c r="D57" s="764"/>
      <c r="E57" s="764"/>
      <c r="F57" s="765"/>
      <c r="G57" s="765"/>
      <c r="H57" s="764"/>
      <c r="I57" s="764"/>
      <c r="J57" s="764"/>
      <c r="K57" s="1160"/>
      <c r="L57" s="1161"/>
      <c r="M57" s="1159"/>
      <c r="N57" s="1159"/>
      <c r="O57" s="1159"/>
      <c r="P57" s="2626"/>
      <c r="Q57" s="504"/>
    </row>
    <row r="58" spans="1:29" s="508" customFormat="1">
      <c r="A58" s="505" t="s">
        <v>2578</v>
      </c>
      <c r="B58" s="506"/>
      <c r="C58" s="1575" t="str">
        <f>YEAR(C7)&amp;"-"&amp;MONTH(C7)</f>
        <v>2020-2</v>
      </c>
      <c r="D58" s="1574">
        <f>EDATE(C58,-1)</f>
        <v>43831</v>
      </c>
      <c r="E58" s="1574">
        <f>EDATE(D58,-1)</f>
        <v>43800</v>
      </c>
      <c r="F58" s="1574">
        <f t="shared" ref="F58:O58" si="16">EDATE(E58,-1)</f>
        <v>43770</v>
      </c>
      <c r="G58" s="1574">
        <f t="shared" si="16"/>
        <v>43739</v>
      </c>
      <c r="H58" s="1574">
        <f t="shared" si="16"/>
        <v>43709</v>
      </c>
      <c r="I58" s="1574">
        <f t="shared" si="16"/>
        <v>43678</v>
      </c>
      <c r="J58" s="1574">
        <f t="shared" si="16"/>
        <v>43647</v>
      </c>
      <c r="K58" s="1574">
        <f t="shared" si="16"/>
        <v>43617</v>
      </c>
      <c r="L58" s="1574">
        <f t="shared" si="16"/>
        <v>43586</v>
      </c>
      <c r="M58" s="1574">
        <f t="shared" si="16"/>
        <v>43556</v>
      </c>
      <c r="N58" s="1574">
        <f t="shared" si="16"/>
        <v>43525</v>
      </c>
      <c r="O58" s="1574">
        <f t="shared" si="16"/>
        <v>43497</v>
      </c>
      <c r="P58" s="1569"/>
    </row>
    <row r="59" spans="1:29" s="117" customFormat="1">
      <c r="A59" s="509"/>
      <c r="B59" s="2627"/>
      <c r="C59" s="1572">
        <v>100</v>
      </c>
      <c r="D59" s="511"/>
      <c r="E59" s="512"/>
      <c r="F59" s="512"/>
      <c r="G59" s="512"/>
      <c r="H59" s="512"/>
      <c r="I59" s="512"/>
      <c r="J59" s="512"/>
      <c r="K59" s="512"/>
      <c r="L59" s="512"/>
      <c r="M59" s="513"/>
      <c r="N59" s="512"/>
      <c r="O59" s="513"/>
      <c r="P59" s="2628"/>
    </row>
    <row r="60" spans="1:29" s="117" customFormat="1" ht="14.5" thickBot="1">
      <c r="A60" s="515" t="s">
        <v>2579</v>
      </c>
      <c r="B60" s="516"/>
      <c r="C60" s="517"/>
      <c r="D60" s="518"/>
      <c r="E60" s="518"/>
      <c r="F60" s="518"/>
      <c r="G60" s="518"/>
      <c r="H60" s="518"/>
      <c r="I60" s="518"/>
      <c r="J60" s="518"/>
      <c r="K60" s="518"/>
      <c r="L60" s="518"/>
      <c r="M60" s="519"/>
      <c r="N60" s="518"/>
      <c r="O60" s="519"/>
      <c r="P60" s="2628"/>
      <c r="Q60" s="504"/>
    </row>
    <row r="61" spans="1:29" s="117" customFormat="1">
      <c r="A61" s="521" t="s">
        <v>2580</v>
      </c>
      <c r="B61" s="510"/>
      <c r="C61" s="522" t="s">
        <v>2581</v>
      </c>
      <c r="D61" s="523"/>
      <c r="E61" s="523"/>
      <c r="F61" s="523"/>
      <c r="G61" s="523"/>
      <c r="H61" s="523"/>
      <c r="I61" s="523"/>
      <c r="J61" s="523"/>
      <c r="K61" s="523"/>
      <c r="L61" s="524"/>
      <c r="M61" s="525"/>
      <c r="N61" s="1151"/>
      <c r="O61" s="1151"/>
      <c r="P61" s="2629"/>
      <c r="Q61" s="504"/>
    </row>
    <row r="62" spans="1:29" s="117" customFormat="1" ht="14.5" thickBot="1">
      <c r="A62" s="521"/>
      <c r="B62" s="510"/>
      <c r="C62" s="511">
        <v>100</v>
      </c>
      <c r="D62" s="512"/>
      <c r="E62" s="512"/>
      <c r="F62" s="512"/>
      <c r="G62" s="512"/>
      <c r="H62" s="512"/>
      <c r="I62" s="512"/>
      <c r="J62" s="512"/>
      <c r="K62" s="512"/>
      <c r="L62" s="512"/>
      <c r="M62" s="514"/>
      <c r="N62" s="1151"/>
      <c r="O62" s="1151"/>
      <c r="P62" s="2628"/>
      <c r="Q62" s="504"/>
    </row>
    <row r="63" spans="1:29">
      <c r="A63" s="527" t="s">
        <v>2582</v>
      </c>
      <c r="B63" s="528" t="s">
        <v>2548</v>
      </c>
      <c r="C63" s="529">
        <f>C9</f>
        <v>0</v>
      </c>
      <c r="D63" s="530"/>
      <c r="E63" s="530"/>
      <c r="F63" s="530"/>
      <c r="G63" s="530"/>
      <c r="H63" s="530"/>
      <c r="I63" s="530"/>
      <c r="J63" s="530"/>
      <c r="K63" s="531"/>
      <c r="L63" s="532"/>
      <c r="M63" s="533"/>
      <c r="N63" s="1152"/>
      <c r="O63" s="1152"/>
      <c r="P63" s="2630"/>
      <c r="Q63" s="504"/>
    </row>
    <row r="64" spans="1:29" ht="14.5" thickBot="1">
      <c r="A64" s="534"/>
      <c r="B64" s="535"/>
      <c r="C64" s="536">
        <v>100</v>
      </c>
      <c r="D64" s="536"/>
      <c r="E64" s="536"/>
      <c r="F64" s="536"/>
      <c r="G64" s="536"/>
      <c r="H64" s="536"/>
      <c r="I64" s="536"/>
      <c r="J64" s="536"/>
      <c r="K64" s="536"/>
      <c r="L64" s="536"/>
      <c r="M64" s="537"/>
      <c r="N64" s="1153"/>
      <c r="O64" s="1153"/>
      <c r="P64" s="2630"/>
      <c r="Q64" s="504"/>
    </row>
    <row r="65" spans="1:17" ht="28.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30"/>
      <c r="Q65" s="504"/>
    </row>
    <row r="66" spans="1:17" ht="14.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3"/>
      <c r="O66" s="1153"/>
      <c r="P66" s="2630"/>
      <c r="Q66" s="504"/>
    </row>
    <row r="67" spans="1:17" ht="14.5" thickTop="1">
      <c r="A67" s="534"/>
      <c r="B67" s="546" t="s">
        <v>2552</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3"/>
      <c r="O67" s="1153"/>
      <c r="P67" s="2630"/>
      <c r="Q67" s="504"/>
    </row>
    <row r="68" spans="1:17">
      <c r="A68" s="534"/>
      <c r="B68" s="548"/>
      <c r="C68" s="549"/>
      <c r="D68" s="549"/>
      <c r="E68" s="549"/>
      <c r="F68" s="549"/>
      <c r="G68" s="549"/>
      <c r="H68" s="549"/>
      <c r="I68" s="549"/>
      <c r="J68" s="549"/>
      <c r="K68" s="550"/>
      <c r="L68" s="551"/>
      <c r="M68" s="552"/>
      <c r="N68" s="1152"/>
      <c r="O68" s="1152"/>
      <c r="P68" s="2630"/>
      <c r="Q68" s="504"/>
    </row>
    <row r="69" spans="1:17" ht="14.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30"/>
      <c r="Q69" s="504"/>
    </row>
    <row r="70" spans="1:17" s="471" customFormat="1" ht="14.5" thickTop="1">
      <c r="A70" s="553"/>
      <c r="B70" s="538">
        <f>B12</f>
        <v>111</v>
      </c>
      <c r="C70" s="554"/>
      <c r="D70" s="554"/>
      <c r="E70" s="554"/>
      <c r="F70" s="554"/>
      <c r="G70" s="554"/>
      <c r="H70" s="555"/>
      <c r="I70" s="555"/>
      <c r="J70" s="555"/>
      <c r="K70" s="555"/>
      <c r="L70" s="556"/>
      <c r="M70" s="557"/>
      <c r="N70" s="1154"/>
      <c r="O70" s="1154"/>
      <c r="P70" s="2631"/>
      <c r="Q70" s="559"/>
    </row>
    <row r="71" spans="1:17" s="471" customFormat="1" ht="14.5" thickBot="1">
      <c r="A71" s="553"/>
      <c r="B71" s="543"/>
      <c r="C71" s="560"/>
      <c r="D71" s="536"/>
      <c r="E71" s="536"/>
      <c r="F71" s="536"/>
      <c r="G71" s="536"/>
      <c r="H71" s="536"/>
      <c r="I71" s="536"/>
      <c r="J71" s="536"/>
      <c r="K71" s="536"/>
      <c r="L71" s="536"/>
      <c r="M71" s="537"/>
      <c r="N71" s="1153"/>
      <c r="O71" s="1153"/>
      <c r="P71" s="2631"/>
      <c r="Q71" s="559"/>
    </row>
    <row r="72" spans="1:17" s="471" customFormat="1" ht="14.5" thickTop="1">
      <c r="A72" s="553"/>
      <c r="B72" s="538">
        <f>B13</f>
        <v>111</v>
      </c>
      <c r="C72" s="554"/>
      <c r="D72" s="554"/>
      <c r="E72" s="554"/>
      <c r="F72" s="554"/>
      <c r="G72" s="554"/>
      <c r="H72" s="555"/>
      <c r="I72" s="555"/>
      <c r="J72" s="555"/>
      <c r="K72" s="555"/>
      <c r="L72" s="556"/>
      <c r="M72" s="557"/>
      <c r="N72" s="1154"/>
      <c r="O72" s="1154"/>
      <c r="P72" s="2632"/>
      <c r="Q72" s="561"/>
    </row>
    <row r="73" spans="1:17" s="471" customFormat="1" ht="14.5" thickBot="1">
      <c r="A73" s="553"/>
      <c r="B73" s="543"/>
      <c r="C73" s="560"/>
      <c r="D73" s="560"/>
      <c r="E73" s="560"/>
      <c r="F73" s="560"/>
      <c r="G73" s="560"/>
      <c r="H73" s="562"/>
      <c r="I73" s="562"/>
      <c r="J73" s="562"/>
      <c r="K73" s="562"/>
      <c r="L73" s="562"/>
      <c r="M73" s="563"/>
      <c r="N73" s="1154"/>
      <c r="O73" s="1154"/>
      <c r="P73" s="2631"/>
      <c r="Q73" s="559"/>
    </row>
    <row r="74" spans="1:17" s="471" customFormat="1" ht="14.5" thickTop="1">
      <c r="A74" s="553"/>
      <c r="B74" s="546">
        <f>B14</f>
        <v>111</v>
      </c>
      <c r="C74" s="554"/>
      <c r="D74" s="554"/>
      <c r="E74" s="554"/>
      <c r="F74" s="554"/>
      <c r="G74" s="523"/>
      <c r="H74" s="564"/>
      <c r="I74" s="564"/>
      <c r="J74" s="564"/>
      <c r="K74" s="564"/>
      <c r="L74" s="565"/>
      <c r="M74" s="566"/>
      <c r="N74" s="1154"/>
      <c r="O74" s="1154"/>
      <c r="P74" s="2633"/>
      <c r="Q74" s="559"/>
    </row>
    <row r="75" spans="1:17" s="471" customFormat="1" ht="14.5" thickBot="1">
      <c r="A75" s="568"/>
      <c r="B75" s="569"/>
      <c r="C75" s="570"/>
      <c r="D75" s="570"/>
      <c r="E75" s="570"/>
      <c r="F75" s="570"/>
      <c r="G75" s="570"/>
      <c r="H75" s="571"/>
      <c r="I75" s="571"/>
      <c r="J75" s="571"/>
      <c r="K75" s="571"/>
      <c r="L75" s="571"/>
      <c r="M75" s="572"/>
      <c r="N75" s="1154"/>
      <c r="O75" s="1154"/>
      <c r="P75" s="2631"/>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4"/>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4.5" thickTop="1">
      <c r="A78" s="534"/>
      <c r="B78" s="538" t="s">
        <v>2596</v>
      </c>
      <c r="C78" s="578" t="s">
        <v>2591</v>
      </c>
      <c r="D78" s="578" t="s">
        <v>2592</v>
      </c>
      <c r="E78" s="578" t="s">
        <v>2593</v>
      </c>
      <c r="F78" s="578" t="s">
        <v>2594</v>
      </c>
      <c r="G78" s="578" t="s">
        <v>2595</v>
      </c>
      <c r="H78" s="539"/>
      <c r="I78" s="539"/>
      <c r="J78" s="539"/>
      <c r="K78" s="540"/>
      <c r="L78" s="541"/>
      <c r="M78" s="542"/>
      <c r="N78" s="1152"/>
      <c r="O78" s="1152"/>
      <c r="P78" s="2630"/>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4.5" thickTop="1">
      <c r="A80" s="534"/>
      <c r="B80" s="538" t="s">
        <v>2597</v>
      </c>
      <c r="C80" s="578" t="s">
        <v>2591</v>
      </c>
      <c r="D80" s="578" t="s">
        <v>2592</v>
      </c>
      <c r="E80" s="578" t="s">
        <v>2593</v>
      </c>
      <c r="F80" s="578" t="s">
        <v>2594</v>
      </c>
      <c r="G80" s="578" t="s">
        <v>2595</v>
      </c>
      <c r="H80" s="539"/>
      <c r="I80" s="539"/>
      <c r="J80" s="539"/>
      <c r="K80" s="540"/>
      <c r="L80" s="541"/>
      <c r="M80" s="542"/>
      <c r="N80" s="1152"/>
      <c r="O80" s="1152"/>
      <c r="P80" s="2630"/>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4.5" thickTop="1">
      <c r="A82" s="534"/>
      <c r="B82" s="546" t="s">
        <v>2095</v>
      </c>
      <c r="C82" s="539" t="s">
        <v>2598</v>
      </c>
      <c r="D82" s="539" t="s">
        <v>2599</v>
      </c>
      <c r="E82" s="539" t="s">
        <v>2600</v>
      </c>
      <c r="F82" s="539" t="s">
        <v>2601</v>
      </c>
      <c r="G82" s="539" t="s">
        <v>2602</v>
      </c>
      <c r="H82" s="539"/>
      <c r="I82" s="539"/>
      <c r="J82" s="539"/>
      <c r="K82" s="539"/>
      <c r="L82" s="539"/>
      <c r="M82" s="1382"/>
      <c r="N82" s="1153"/>
      <c r="O82" s="1153"/>
      <c r="P82" s="2630"/>
      <c r="Q82" s="504"/>
    </row>
    <row r="83" spans="1:17" ht="14.5" thickBot="1">
      <c r="A83" s="534"/>
      <c r="B83" s="546"/>
      <c r="C83" s="660">
        <v>100</v>
      </c>
      <c r="D83" s="660">
        <f>C83-$K21</f>
        <v>100</v>
      </c>
      <c r="E83" s="660">
        <f>D83-$K21</f>
        <v>100</v>
      </c>
      <c r="F83" s="660">
        <f>E83-$K21</f>
        <v>100</v>
      </c>
      <c r="G83" s="660">
        <f>F83-$K21</f>
        <v>100</v>
      </c>
      <c r="H83" s="660"/>
      <c r="I83" s="660"/>
      <c r="J83" s="660"/>
      <c r="K83" s="660"/>
      <c r="L83" s="660"/>
      <c r="M83" s="450"/>
      <c r="N83" s="1153"/>
      <c r="O83" s="1153"/>
      <c r="P83" s="2630"/>
      <c r="Q83" s="504"/>
    </row>
    <row r="84" spans="1:17" ht="14.5" thickTop="1">
      <c r="A84" s="534"/>
      <c r="B84" s="538" t="s">
        <v>2603</v>
      </c>
      <c r="C84" s="578" t="s">
        <v>2591</v>
      </c>
      <c r="D84" s="578" t="s">
        <v>2592</v>
      </c>
      <c r="E84" s="578" t="s">
        <v>2593</v>
      </c>
      <c r="F84" s="578" t="s">
        <v>2594</v>
      </c>
      <c r="G84" s="578" t="s">
        <v>2595</v>
      </c>
      <c r="H84" s="539"/>
      <c r="I84" s="539"/>
      <c r="J84" s="539"/>
      <c r="K84" s="540"/>
      <c r="L84" s="541"/>
      <c r="M84" s="542"/>
      <c r="N84" s="1152"/>
      <c r="O84" s="1152"/>
      <c r="P84" s="2630"/>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 thickTop="1">
      <c r="A86" s="579"/>
      <c r="B86" s="538" t="s">
        <v>2604</v>
      </c>
      <c r="C86" s="554"/>
      <c r="D86" s="554"/>
      <c r="E86" s="554"/>
      <c r="F86" s="554"/>
      <c r="G86" s="554"/>
      <c r="H86" s="554"/>
      <c r="I86" s="554"/>
      <c r="J86" s="554"/>
      <c r="K86" s="554"/>
      <c r="L86" s="580"/>
      <c r="M86" s="581"/>
      <c r="N86" s="1151"/>
      <c r="O86" s="1151"/>
      <c r="P86" s="2630"/>
      <c r="Q86" s="504"/>
    </row>
    <row r="87" spans="1:17" s="117" customFormat="1" ht="14.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4.5" thickTop="1">
      <c r="A88" s="579"/>
      <c r="B88" s="538" t="s">
        <v>2605</v>
      </c>
      <c r="C88" s="554"/>
      <c r="D88" s="554"/>
      <c r="E88" s="554"/>
      <c r="F88" s="2635"/>
      <c r="G88" s="554"/>
      <c r="H88" s="554"/>
      <c r="I88" s="554"/>
      <c r="J88" s="554"/>
      <c r="K88" s="554"/>
      <c r="L88" s="554"/>
      <c r="M88" s="581"/>
      <c r="N88" s="1151"/>
      <c r="O88" s="1151"/>
      <c r="P88" s="2630"/>
      <c r="Q88" s="504"/>
    </row>
    <row r="89" spans="1:17" s="117" customFormat="1" ht="14.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3"/>
      <c r="O89" s="1153"/>
      <c r="P89" s="2630"/>
      <c r="Q89" s="504"/>
    </row>
    <row r="90" spans="1:17" s="471" customFormat="1" ht="14.5" thickTop="1">
      <c r="A90" s="553"/>
      <c r="B90" s="538">
        <f>B27</f>
        <v>111</v>
      </c>
      <c r="C90" s="554"/>
      <c r="D90" s="554"/>
      <c r="E90" s="554"/>
      <c r="F90" s="554"/>
      <c r="G90" s="554"/>
      <c r="H90" s="555"/>
      <c r="I90" s="555"/>
      <c r="J90" s="555"/>
      <c r="K90" s="555"/>
      <c r="L90" s="556"/>
      <c r="M90" s="557"/>
      <c r="N90" s="1154"/>
      <c r="O90" s="1154"/>
      <c r="P90" s="2631"/>
      <c r="Q90" s="559"/>
    </row>
    <row r="91" spans="1:17" s="471" customFormat="1" ht="14.5" thickBot="1">
      <c r="A91" s="553"/>
      <c r="B91" s="543"/>
      <c r="C91" s="560"/>
      <c r="D91" s="560"/>
      <c r="E91" s="560"/>
      <c r="F91" s="560"/>
      <c r="G91" s="560"/>
      <c r="H91" s="562"/>
      <c r="I91" s="562"/>
      <c r="J91" s="562"/>
      <c r="K91" s="562"/>
      <c r="L91" s="562"/>
      <c r="M91" s="563"/>
      <c r="N91" s="1154"/>
      <c r="O91" s="1154"/>
      <c r="P91" s="2631"/>
      <c r="Q91" s="559"/>
    </row>
    <row r="92" spans="1:17" ht="14.5" thickTop="1">
      <c r="A92" s="534"/>
      <c r="B92" s="538">
        <f>B28</f>
        <v>111</v>
      </c>
      <c r="C92" s="554"/>
      <c r="D92" s="554"/>
      <c r="E92" s="554"/>
      <c r="F92" s="554"/>
      <c r="G92" s="583"/>
      <c r="H92" s="583"/>
      <c r="I92" s="583"/>
      <c r="J92" s="583"/>
      <c r="K92" s="584"/>
      <c r="L92" s="585"/>
      <c r="M92" s="586"/>
      <c r="N92" s="1152"/>
      <c r="O92" s="1152"/>
      <c r="P92" s="2630"/>
      <c r="Q92" s="504"/>
    </row>
    <row r="93" spans="1:17" ht="14.5" thickBot="1">
      <c r="A93" s="534"/>
      <c r="B93" s="543"/>
      <c r="C93" s="560"/>
      <c r="D93" s="536"/>
      <c r="E93" s="536"/>
      <c r="F93" s="536"/>
      <c r="G93" s="536"/>
      <c r="H93" s="536"/>
      <c r="I93" s="536"/>
      <c r="J93" s="536"/>
      <c r="K93" s="536"/>
      <c r="L93" s="536"/>
      <c r="M93" s="537"/>
      <c r="N93" s="1153"/>
      <c r="O93" s="1153"/>
      <c r="P93" s="2630"/>
      <c r="Q93" s="504"/>
    </row>
    <row r="94" spans="1:17" ht="14.5" thickTop="1">
      <c r="A94" s="534"/>
      <c r="B94" s="538">
        <f>B29</f>
        <v>111</v>
      </c>
      <c r="C94" s="554"/>
      <c r="D94" s="554"/>
      <c r="E94" s="554"/>
      <c r="F94" s="554"/>
      <c r="G94" s="583"/>
      <c r="H94" s="583"/>
      <c r="I94" s="583"/>
      <c r="J94" s="583"/>
      <c r="K94" s="584"/>
      <c r="L94" s="585"/>
      <c r="M94" s="586"/>
      <c r="N94" s="1152"/>
      <c r="O94" s="1152"/>
      <c r="P94" s="2630"/>
      <c r="Q94" s="504"/>
    </row>
    <row r="95" spans="1:17" ht="14.5" thickBot="1">
      <c r="A95" s="534"/>
      <c r="B95" s="543"/>
      <c r="C95" s="560"/>
      <c r="D95" s="560"/>
      <c r="E95" s="560"/>
      <c r="F95" s="560"/>
      <c r="G95" s="536"/>
      <c r="H95" s="536"/>
      <c r="I95" s="536"/>
      <c r="J95" s="536"/>
      <c r="K95" s="536"/>
      <c r="L95" s="536"/>
      <c r="M95" s="537"/>
      <c r="N95" s="1153"/>
      <c r="O95" s="1153"/>
      <c r="P95" s="2630"/>
      <c r="Q95" s="504"/>
    </row>
    <row r="96" spans="1:17" ht="14.5" thickTop="1">
      <c r="A96" s="534"/>
      <c r="B96" s="538">
        <f>B30</f>
        <v>111</v>
      </c>
      <c r="C96" s="554"/>
      <c r="D96" s="554"/>
      <c r="E96" s="554"/>
      <c r="F96" s="554"/>
      <c r="G96" s="583"/>
      <c r="H96" s="583"/>
      <c r="I96" s="583"/>
      <c r="J96" s="583"/>
      <c r="K96" s="584"/>
      <c r="L96" s="585"/>
      <c r="M96" s="586"/>
      <c r="N96" s="1152"/>
      <c r="O96" s="1152"/>
      <c r="P96" s="2630"/>
      <c r="Q96" s="504"/>
    </row>
    <row r="97" spans="1:17" ht="14.5" thickBot="1">
      <c r="A97" s="534"/>
      <c r="B97" s="543"/>
      <c r="C97" s="570"/>
      <c r="D97" s="570"/>
      <c r="E97" s="570"/>
      <c r="F97" s="570"/>
      <c r="G97" s="536"/>
      <c r="H97" s="536"/>
      <c r="I97" s="536"/>
      <c r="J97" s="536"/>
      <c r="K97" s="536"/>
      <c r="L97" s="536"/>
      <c r="M97" s="537"/>
      <c r="N97" s="1153"/>
      <c r="O97" s="1153"/>
      <c r="P97" s="2630"/>
      <c r="Q97" s="504"/>
    </row>
    <row r="98" spans="1:17" ht="14.5" thickTop="1">
      <c r="A98" s="534"/>
      <c r="B98" s="546">
        <f>B31</f>
        <v>111</v>
      </c>
      <c r="C98" s="587"/>
      <c r="D98" s="587"/>
      <c r="E98" s="587"/>
      <c r="F98" s="587"/>
      <c r="G98" s="587"/>
      <c r="H98" s="587"/>
      <c r="I98" s="587"/>
      <c r="J98" s="587"/>
      <c r="K98" s="588"/>
      <c r="L98" s="589"/>
      <c r="M98" s="590"/>
      <c r="N98" s="1152"/>
      <c r="O98" s="1152"/>
      <c r="P98" s="2630"/>
      <c r="Q98" s="504"/>
    </row>
    <row r="99" spans="1:17" ht="14.5" thickBot="1">
      <c r="A99" s="2636"/>
      <c r="B99" s="569"/>
      <c r="C99" s="591"/>
      <c r="D99" s="591"/>
      <c r="E99" s="591"/>
      <c r="F99" s="591"/>
      <c r="G99" s="591"/>
      <c r="H99" s="591"/>
      <c r="I99" s="591"/>
      <c r="J99" s="591"/>
      <c r="K99" s="591"/>
      <c r="L99" s="591"/>
      <c r="M99" s="592"/>
      <c r="N99" s="1153"/>
      <c r="O99" s="1153"/>
      <c r="P99" s="2630"/>
      <c r="Q99" s="504"/>
    </row>
    <row r="100" spans="1:17">
      <c r="A100" s="527" t="s">
        <v>2557</v>
      </c>
      <c r="B100" s="528" t="s">
        <v>2606</v>
      </c>
      <c r="C100" s="530"/>
      <c r="D100" s="530"/>
      <c r="E100" s="530"/>
      <c r="F100" s="530"/>
      <c r="G100" s="530"/>
      <c r="H100" s="530"/>
      <c r="I100" s="530"/>
      <c r="J100" s="530"/>
      <c r="K100" s="531"/>
      <c r="L100" s="532"/>
      <c r="M100" s="533"/>
      <c r="N100" s="1152"/>
      <c r="O100" s="1152"/>
      <c r="P100" s="2630"/>
      <c r="Q100" s="504"/>
    </row>
    <row r="101" spans="1:17" ht="14.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3"/>
      <c r="O101" s="1153"/>
      <c r="P101" s="2630"/>
      <c r="Q101" s="504"/>
    </row>
    <row r="102" spans="1:17" ht="14.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4.5" thickBot="1">
      <c r="A104" s="553"/>
      <c r="B104" s="543"/>
      <c r="C104" s="560"/>
      <c r="D104" s="536"/>
      <c r="E104" s="536"/>
      <c r="F104" s="536"/>
      <c r="G104" s="536"/>
      <c r="H104" s="536"/>
      <c r="I104" s="536"/>
      <c r="J104" s="536"/>
      <c r="K104" s="536"/>
      <c r="L104" s="536"/>
      <c r="M104" s="536"/>
      <c r="N104" s="1153"/>
      <c r="O104" s="1153"/>
      <c r="P104" s="2631"/>
      <c r="Q104" s="559"/>
    </row>
    <row r="105" spans="1:17" ht="14.5" thickTop="1">
      <c r="A105" s="599"/>
      <c r="B105" s="538" t="s">
        <v>2608</v>
      </c>
      <c r="C105" s="554"/>
      <c r="D105" s="554"/>
      <c r="E105" s="583"/>
      <c r="F105" s="583"/>
      <c r="G105" s="583"/>
      <c r="H105" s="583"/>
      <c r="I105" s="583"/>
      <c r="J105" s="583"/>
      <c r="K105" s="584"/>
      <c r="L105" s="585"/>
      <c r="M105" s="586"/>
      <c r="N105" s="1152"/>
      <c r="O105" s="1152"/>
      <c r="P105" s="2630"/>
      <c r="Q105" s="504"/>
    </row>
    <row r="106" spans="1:17" ht="14.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3"/>
      <c r="O106" s="1153"/>
      <c r="P106" s="2630"/>
      <c r="Q106" s="504"/>
    </row>
    <row r="107" spans="1:17" ht="14.5" thickTop="1">
      <c r="A107" s="599"/>
      <c r="B107" s="538" t="s">
        <v>2609</v>
      </c>
      <c r="C107" s="583"/>
      <c r="D107" s="583"/>
      <c r="E107" s="583"/>
      <c r="F107" s="583"/>
      <c r="G107" s="583"/>
      <c r="H107" s="583"/>
      <c r="I107" s="583"/>
      <c r="J107" s="583"/>
      <c r="K107" s="584"/>
      <c r="L107" s="585"/>
      <c r="M107" s="586"/>
      <c r="N107" s="1152"/>
      <c r="O107" s="1152"/>
      <c r="P107" s="2630"/>
      <c r="Q107" s="504"/>
    </row>
    <row r="108" spans="1:17" ht="14.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3"/>
      <c r="O108" s="1153"/>
      <c r="P108" s="2630"/>
      <c r="Q108" s="504"/>
    </row>
    <row r="109" spans="1:17" ht="14.5" thickTop="1">
      <c r="A109" s="599"/>
      <c r="B109" s="538" t="s">
        <v>2610</v>
      </c>
      <c r="C109" s="554"/>
      <c r="D109" s="554"/>
      <c r="E109" s="554"/>
      <c r="F109" s="583"/>
      <c r="G109" s="583"/>
      <c r="H109" s="583"/>
      <c r="I109" s="583"/>
      <c r="J109" s="583"/>
      <c r="K109" s="584"/>
      <c r="L109" s="585"/>
      <c r="M109" s="586"/>
      <c r="N109" s="1152"/>
      <c r="O109" s="1152"/>
      <c r="P109" s="2630"/>
      <c r="Q109" s="504"/>
    </row>
    <row r="110" spans="1:17" ht="14.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3"/>
      <c r="O110" s="1153"/>
      <c r="P110" s="2630"/>
      <c r="Q110" s="504"/>
    </row>
    <row r="111" spans="1:17" s="471" customFormat="1" ht="14.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4.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4.5" thickTop="1">
      <c r="A114" s="599"/>
      <c r="B114" s="538" t="s">
        <v>2611</v>
      </c>
      <c r="C114" s="554"/>
      <c r="D114" s="554"/>
      <c r="E114" s="583"/>
      <c r="F114" s="583"/>
      <c r="G114" s="583"/>
      <c r="H114" s="583"/>
      <c r="I114" s="583"/>
      <c r="J114" s="583"/>
      <c r="K114" s="584"/>
      <c r="L114" s="585"/>
      <c r="M114" s="586"/>
      <c r="N114" s="1152"/>
      <c r="O114" s="1152"/>
      <c r="P114" s="2630"/>
      <c r="Q114" s="504"/>
    </row>
    <row r="115" spans="1:17" ht="14.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3"/>
      <c r="O115" s="1153"/>
      <c r="P115" s="2630"/>
      <c r="Q115" s="504"/>
    </row>
    <row r="116" spans="1:17" ht="14.5" thickTop="1">
      <c r="A116" s="599"/>
      <c r="B116" s="538" t="s">
        <v>2612</v>
      </c>
      <c r="C116" s="554"/>
      <c r="D116" s="554"/>
      <c r="E116" s="554"/>
      <c r="F116" s="554"/>
      <c r="G116" s="554"/>
      <c r="H116" s="583"/>
      <c r="I116" s="583"/>
      <c r="J116" s="583"/>
      <c r="K116" s="584"/>
      <c r="L116" s="585"/>
      <c r="M116" s="586"/>
      <c r="N116" s="1152"/>
      <c r="O116" s="1152"/>
      <c r="P116" s="2630"/>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4.5" thickTop="1">
      <c r="A118" s="599"/>
      <c r="B118" s="538" t="s">
        <v>2613</v>
      </c>
      <c r="C118" s="583"/>
      <c r="D118" s="583"/>
      <c r="E118" s="583"/>
      <c r="F118" s="583"/>
      <c r="G118" s="583"/>
      <c r="H118" s="583"/>
      <c r="I118" s="583"/>
      <c r="J118" s="583"/>
      <c r="K118" s="584"/>
      <c r="L118" s="585"/>
      <c r="M118" s="586"/>
      <c r="N118" s="1152"/>
      <c r="O118" s="1152"/>
      <c r="P118" s="2630"/>
      <c r="Q118" s="504"/>
    </row>
    <row r="119" spans="1:17" ht="14.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3"/>
      <c r="O119" s="1153"/>
      <c r="P119" s="2630"/>
      <c r="Q119" s="504"/>
    </row>
    <row r="120" spans="1:17" s="471" customFormat="1" ht="29" thickTop="1">
      <c r="A120" s="593"/>
      <c r="B120" s="538" t="s">
        <v>2568</v>
      </c>
      <c r="C120" s="554"/>
      <c r="D120" s="554"/>
      <c r="E120" s="554"/>
      <c r="F120" s="554"/>
      <c r="G120" s="554"/>
      <c r="H120" s="554"/>
      <c r="I120" s="554"/>
      <c r="J120" s="554"/>
      <c r="K120" s="554"/>
      <c r="L120" s="580"/>
      <c r="M120" s="581"/>
      <c r="N120" s="1154"/>
      <c r="O120" s="1154"/>
      <c r="P120" s="2631"/>
      <c r="Q120" s="559"/>
    </row>
    <row r="121" spans="1:17" s="471" customFormat="1" ht="14.5" thickBot="1">
      <c r="A121" s="553"/>
      <c r="B121" s="535"/>
      <c r="C121" s="560"/>
      <c r="D121" s="536"/>
      <c r="E121" s="536"/>
      <c r="F121" s="536"/>
      <c r="G121" s="536"/>
      <c r="H121" s="536"/>
      <c r="I121" s="536"/>
      <c r="J121" s="536"/>
      <c r="K121" s="536"/>
      <c r="L121" s="536"/>
      <c r="M121" s="536"/>
      <c r="N121" s="1154"/>
      <c r="O121" s="1154"/>
      <c r="P121" s="2631"/>
      <c r="Q121" s="559"/>
    </row>
    <row r="122" spans="1:17" ht="14.5" thickTop="1">
      <c r="A122" s="599"/>
      <c r="B122" s="538" t="s">
        <v>2614</v>
      </c>
      <c r="C122" s="554"/>
      <c r="D122" s="554"/>
      <c r="E122" s="554"/>
      <c r="F122" s="583"/>
      <c r="G122" s="583"/>
      <c r="H122" s="583"/>
      <c r="I122" s="583"/>
      <c r="J122" s="583"/>
      <c r="K122" s="584"/>
      <c r="L122" s="585"/>
      <c r="M122" s="586"/>
      <c r="N122" s="1152"/>
      <c r="O122" s="1152"/>
      <c r="P122" s="2630"/>
      <c r="Q122" s="504"/>
    </row>
    <row r="123" spans="1:17" ht="14.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3"/>
      <c r="O123" s="1153"/>
      <c r="P123" s="2630"/>
      <c r="Q123" s="504"/>
    </row>
    <row r="124" spans="1:17" ht="28.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1"/>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4.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4.5" thickBot="1">
      <c r="A127" s="553"/>
      <c r="B127" s="543"/>
      <c r="C127" s="560"/>
      <c r="D127" s="536"/>
      <c r="E127" s="536"/>
      <c r="F127" s="536"/>
      <c r="G127" s="560"/>
      <c r="H127" s="562"/>
      <c r="I127" s="562"/>
      <c r="J127" s="562"/>
      <c r="K127" s="562"/>
      <c r="L127" s="562"/>
      <c r="M127" s="563"/>
      <c r="N127" s="1154"/>
      <c r="O127" s="1154"/>
      <c r="P127" s="2631"/>
      <c r="Q127" s="559"/>
    </row>
    <row r="128" spans="1:17" ht="14.5" thickTop="1">
      <c r="A128" s="599"/>
      <c r="B128" s="538">
        <f>B45</f>
        <v>111</v>
      </c>
      <c r="C128" s="554"/>
      <c r="D128" s="554"/>
      <c r="E128" s="554"/>
      <c r="F128" s="554"/>
      <c r="G128" s="583"/>
      <c r="H128" s="583"/>
      <c r="I128" s="583"/>
      <c r="J128" s="583"/>
      <c r="K128" s="584"/>
      <c r="L128" s="585"/>
      <c r="M128" s="586"/>
      <c r="N128" s="1152"/>
      <c r="O128" s="1152"/>
      <c r="P128" s="2630"/>
      <c r="Q128" s="504"/>
    </row>
    <row r="129" spans="1:17" ht="14.5" thickBot="1">
      <c r="A129" s="534"/>
      <c r="B129" s="543"/>
      <c r="C129" s="560"/>
      <c r="D129" s="560"/>
      <c r="E129" s="560"/>
      <c r="F129" s="560"/>
      <c r="G129" s="536"/>
      <c r="H129" s="536"/>
      <c r="I129" s="536"/>
      <c r="J129" s="536"/>
      <c r="K129" s="536"/>
      <c r="L129" s="536"/>
      <c r="M129" s="537"/>
      <c r="N129" s="1153"/>
      <c r="O129" s="1153"/>
      <c r="P129" s="2630"/>
      <c r="Q129" s="504"/>
    </row>
    <row r="130" spans="1:17" ht="14.5" thickTop="1">
      <c r="A130" s="599"/>
      <c r="B130" s="546">
        <f>B46</f>
        <v>111</v>
      </c>
      <c r="C130" s="554"/>
      <c r="D130" s="554"/>
      <c r="E130" s="554"/>
      <c r="F130" s="554"/>
      <c r="G130" s="587"/>
      <c r="H130" s="587"/>
      <c r="I130" s="587"/>
      <c r="J130" s="587"/>
      <c r="K130" s="523"/>
      <c r="L130" s="524"/>
      <c r="M130" s="590"/>
      <c r="N130" s="1152"/>
      <c r="O130" s="1152"/>
      <c r="P130" s="2630"/>
      <c r="Q130" s="504"/>
    </row>
    <row r="131" spans="1:17" ht="14.5" thickBot="1">
      <c r="A131" s="2636"/>
      <c r="B131" s="569"/>
      <c r="C131" s="570"/>
      <c r="D131" s="570"/>
      <c r="E131" s="570"/>
      <c r="F131" s="570"/>
      <c r="G131" s="591"/>
      <c r="H131" s="591"/>
      <c r="I131" s="591"/>
      <c r="J131" s="591"/>
      <c r="K131" s="591"/>
      <c r="L131" s="591"/>
      <c r="M131" s="592"/>
      <c r="N131" s="1153"/>
      <c r="O131" s="1153"/>
      <c r="P131" s="2630"/>
      <c r="Q131" s="504"/>
    </row>
    <row r="136" spans="1:17" ht="14.5" thickBot="1">
      <c r="B136" s="2637" t="s">
        <v>2616</v>
      </c>
    </row>
    <row r="137" spans="1:17" ht="15.5">
      <c r="B137" s="2638" t="s">
        <v>2617</v>
      </c>
      <c r="C137" s="2639"/>
      <c r="D137" s="2639"/>
      <c r="E137" s="2639"/>
      <c r="F137" s="2639"/>
      <c r="G137" s="2640"/>
      <c r="H137" s="2641"/>
      <c r="I137" s="2642" t="s">
        <v>2618</v>
      </c>
      <c r="J137" s="2639"/>
      <c r="K137" s="2643"/>
    </row>
    <row r="138" spans="1:17" ht="15.5">
      <c r="B138" s="2644"/>
      <c r="C138" s="146" t="s">
        <v>2619</v>
      </c>
      <c r="D138" s="146" t="s">
        <v>2620</v>
      </c>
      <c r="E138" s="2645" t="s">
        <v>2621</v>
      </c>
      <c r="F138" s="2646" t="s">
        <v>2622</v>
      </c>
      <c r="G138" s="146" t="s">
        <v>2620</v>
      </c>
      <c r="H138" s="147" t="s">
        <v>2621</v>
      </c>
      <c r="I138" s="2647"/>
      <c r="J138" s="146" t="s">
        <v>2623</v>
      </c>
      <c r="K138" s="147" t="s">
        <v>2624</v>
      </c>
    </row>
    <row r="139" spans="1:17" ht="15.5">
      <c r="B139" s="1084">
        <v>6</v>
      </c>
      <c r="C139" s="1085">
        <v>96</v>
      </c>
      <c r="D139" s="2648" t="s">
        <v>2625</v>
      </c>
      <c r="E139" s="1086">
        <v>100</v>
      </c>
      <c r="F139" s="1087">
        <v>102.5</v>
      </c>
      <c r="G139" s="2648" t="s">
        <v>2625</v>
      </c>
      <c r="H139" s="1088">
        <v>105</v>
      </c>
      <c r="I139" s="2649" t="s">
        <v>2626</v>
      </c>
      <c r="J139" s="1085">
        <v>20</v>
      </c>
      <c r="K139" s="1089">
        <f>C145/(J139-2)</f>
        <v>4.0555555555555553E-3</v>
      </c>
    </row>
    <row r="140" spans="1:17" ht="15.5">
      <c r="B140" s="1090">
        <v>5</v>
      </c>
      <c r="C140" s="1091">
        <v>100</v>
      </c>
      <c r="D140" s="1091"/>
      <c r="E140" s="1092"/>
      <c r="F140" s="1093">
        <v>102</v>
      </c>
      <c r="G140" s="1091"/>
      <c r="H140" s="1094"/>
      <c r="I140" s="2650" t="s">
        <v>2627</v>
      </c>
      <c r="J140" s="315">
        <f>ROUNDUP((J139-1)/2,0)</f>
        <v>10</v>
      </c>
      <c r="K140" s="1095">
        <v>100</v>
      </c>
    </row>
    <row r="141" spans="1:17" ht="15.5">
      <c r="B141" s="1090">
        <v>4</v>
      </c>
      <c r="C141" s="1091">
        <v>102</v>
      </c>
      <c r="D141" s="1091"/>
      <c r="E141" s="1092"/>
      <c r="F141" s="1093">
        <v>101.5</v>
      </c>
      <c r="G141" s="1091"/>
      <c r="H141" s="1094"/>
      <c r="I141" s="2650" t="s">
        <v>2628</v>
      </c>
      <c r="J141" s="315">
        <v>1</v>
      </c>
      <c r="K141" s="1096">
        <f>ROUND(100+(J141-J140)*K139*100,1)</f>
        <v>96.4</v>
      </c>
    </row>
    <row r="142" spans="1:17" ht="15.5">
      <c r="B142" s="1090">
        <v>3</v>
      </c>
      <c r="C142" s="1091">
        <v>103</v>
      </c>
      <c r="D142" s="1091"/>
      <c r="E142" s="1092"/>
      <c r="F142" s="1093">
        <v>101</v>
      </c>
      <c r="G142" s="1091"/>
      <c r="H142" s="1094"/>
      <c r="I142" s="2650" t="s">
        <v>2629</v>
      </c>
      <c r="J142" s="315">
        <f>J139</f>
        <v>20</v>
      </c>
      <c r="K142" s="1097">
        <v>95</v>
      </c>
    </row>
    <row r="143" spans="1:17" ht="15.5">
      <c r="B143" s="1090">
        <v>2</v>
      </c>
      <c r="C143" s="1091">
        <v>100</v>
      </c>
      <c r="D143" s="1091"/>
      <c r="E143" s="1092"/>
      <c r="F143" s="1093">
        <v>100.5</v>
      </c>
      <c r="G143" s="1091"/>
      <c r="H143" s="1094"/>
      <c r="I143" s="2650" t="s">
        <v>2630</v>
      </c>
      <c r="J143" s="1091">
        <v>15</v>
      </c>
      <c r="K143" s="1096">
        <f>ROUND(100+(J143-J140)*K139*100,1)</f>
        <v>102</v>
      </c>
    </row>
    <row r="144" spans="1:17" ht="15.5">
      <c r="B144" s="1090">
        <v>1</v>
      </c>
      <c r="C144" s="1091">
        <v>98</v>
      </c>
      <c r="D144" s="2651" t="s">
        <v>2631</v>
      </c>
      <c r="E144" s="1092">
        <v>102</v>
      </c>
      <c r="F144" s="1098">
        <v>100</v>
      </c>
      <c r="G144" s="2651" t="s">
        <v>2631</v>
      </c>
      <c r="H144" s="1094">
        <v>105</v>
      </c>
      <c r="I144" s="2650" t="s">
        <v>2630</v>
      </c>
      <c r="J144" s="1091">
        <v>18</v>
      </c>
      <c r="K144" s="1096">
        <f>ROUND(100+(J144-J140)*K139*100,1)</f>
        <v>103.2</v>
      </c>
    </row>
    <row r="145" spans="2:11" ht="16" thickBot="1">
      <c r="B145" s="2652" t="s">
        <v>2632</v>
      </c>
      <c r="C145" s="1099">
        <f>ROUND(MAX(C139:C144)/MIN(C139:C144)-1,3)</f>
        <v>7.2999999999999995E-2</v>
      </c>
      <c r="D145" s="1100"/>
      <c r="E145" s="1100"/>
      <c r="F145" s="2653" t="s">
        <v>2633</v>
      </c>
      <c r="G145" s="2654"/>
      <c r="H145" s="2655"/>
      <c r="I145" s="2656" t="s">
        <v>2630</v>
      </c>
      <c r="J145" s="1101">
        <v>8</v>
      </c>
      <c r="K145" s="1102">
        <f>ROUND(100+(J145-J140)*K139*100,1)</f>
        <v>99.2</v>
      </c>
    </row>
    <row r="147" spans="2:11">
      <c r="B147" s="2637" t="s">
        <v>2634</v>
      </c>
    </row>
    <row r="148" spans="2:11">
      <c r="B148" s="2637"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zoomScale="90" zoomScaleNormal="90" workbookViewId="0">
      <selection activeCell="F3" sqref="F3"/>
    </sheetView>
  </sheetViews>
  <sheetFormatPr defaultColWidth="9" defaultRowHeight="14"/>
  <cols>
    <col min="1" max="1" width="10.453125" style="403" customWidth="1"/>
    <col min="2" max="2" width="15.81640625" style="403" customWidth="1"/>
    <col min="3" max="3" width="15.0898437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2624"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8" customFormat="1" ht="28.5" customHeight="1" thickBot="1">
      <c r="A1" s="1617" t="s">
        <v>2522</v>
      </c>
      <c r="B1" s="2582" t="s">
        <v>2636</v>
      </c>
      <c r="C1" s="1633" t="s">
        <v>2524</v>
      </c>
      <c r="D1" s="1620"/>
      <c r="E1" s="2657"/>
      <c r="F1" s="2584"/>
      <c r="G1" s="1630" t="s">
        <v>2637</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2324</v>
      </c>
      <c r="B2" s="1418" t="e">
        <f ca="1">IF(C2="——",ROUND(C49*D3/10000,0),ROUND(C49*D3/10000,0)-D2)</f>
        <v>#DIV/0!</v>
      </c>
      <c r="C2" s="2586"/>
      <c r="D2" s="1365" t="e">
        <f ca="1">SUMIF(INDIRECT("'"&amp;F2&amp;"'"&amp;"!A:A"),"承租人权益价值",INDIRECT("'"&amp;F2&amp;"'"&amp;"!c:c"))</f>
        <v>#REF!</v>
      </c>
      <c r="E2" s="2587" t="s">
        <v>2325</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2326</v>
      </c>
      <c r="B3" s="609" t="e">
        <f ca="1">IF(C2="——",C49,ROUND(B2*10000/D3,0))</f>
        <v>#DIV/0!</v>
      </c>
      <c r="C3" s="400" t="s">
        <v>2638</v>
      </c>
      <c r="D3" s="399">
        <f>IF(D1="",'数据-汇总表'!E3,SUMIF('数据-汇总表'!$C19:$C33,D1,'数据-汇总表'!$E19:$E33))</f>
        <v>127439.59000000001</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c r="A4" s="401" t="s">
        <v>2639</v>
      </c>
      <c r="B4" s="402"/>
      <c r="C4" s="3174" t="s">
        <v>2640</v>
      </c>
      <c r="D4" s="3187"/>
      <c r="E4" s="3188" t="s">
        <v>2641</v>
      </c>
      <c r="F4" s="3189"/>
      <c r="G4" s="3174" t="s">
        <v>2642</v>
      </c>
      <c r="H4" s="3187"/>
      <c r="I4" s="3174" t="s">
        <v>2643</v>
      </c>
      <c r="J4" s="3187"/>
      <c r="K4" s="610" t="s">
        <v>2644</v>
      </c>
      <c r="L4" s="1130"/>
      <c r="M4" s="1131"/>
      <c r="N4" s="1131"/>
      <c r="O4" s="1131"/>
      <c r="P4" s="3190" t="s">
        <v>2645</v>
      </c>
      <c r="Q4" s="3191"/>
      <c r="R4" s="3196" t="s">
        <v>2641</v>
      </c>
      <c r="S4" s="3197"/>
      <c r="T4" s="3196" t="s">
        <v>2642</v>
      </c>
      <c r="U4" s="3197"/>
      <c r="V4" s="3183" t="s">
        <v>2643</v>
      </c>
      <c r="W4" s="3183"/>
      <c r="X4" s="1812"/>
      <c r="Y4" s="3196" t="s">
        <v>2645</v>
      </c>
      <c r="Z4" s="3197"/>
      <c r="AA4" s="3184" t="s">
        <v>2641</v>
      </c>
      <c r="AB4" s="3183" t="s">
        <v>2642</v>
      </c>
      <c r="AC4" s="3184" t="s">
        <v>2643</v>
      </c>
    </row>
    <row r="5" spans="1:29">
      <c r="A5" s="404"/>
      <c r="B5" s="405"/>
      <c r="C5" s="3204" t="s">
        <v>2536</v>
      </c>
      <c r="D5" s="3205"/>
      <c r="E5" s="3211" t="s">
        <v>2537</v>
      </c>
      <c r="F5" s="3212"/>
      <c r="G5" s="3204" t="s">
        <v>2538</v>
      </c>
      <c r="H5" s="3205"/>
      <c r="I5" s="3204" t="s">
        <v>2539</v>
      </c>
      <c r="J5" s="3205"/>
      <c r="K5" s="610"/>
      <c r="L5" s="1130"/>
      <c r="M5" s="1131"/>
      <c r="N5" s="1131"/>
      <c r="O5" s="1131"/>
      <c r="P5" s="3192"/>
      <c r="Q5" s="3193"/>
      <c r="R5" s="3198"/>
      <c r="S5" s="3199"/>
      <c r="T5" s="3198"/>
      <c r="U5" s="3199"/>
      <c r="V5" s="3183"/>
      <c r="W5" s="3183"/>
      <c r="X5" s="1812"/>
      <c r="Y5" s="3198"/>
      <c r="Z5" s="3199"/>
      <c r="AA5" s="3185"/>
      <c r="AB5" s="3183"/>
      <c r="AC5" s="3185"/>
    </row>
    <row r="6" spans="1:29" ht="15" thickBot="1">
      <c r="A6" s="406"/>
      <c r="B6" s="407"/>
      <c r="C6" s="3202" t="s">
        <v>2540</v>
      </c>
      <c r="D6" s="3203"/>
      <c r="E6" s="3209" t="s">
        <v>2540</v>
      </c>
      <c r="F6" s="3210"/>
      <c r="G6" s="3202" t="s">
        <v>2540</v>
      </c>
      <c r="H6" s="3203"/>
      <c r="I6" s="3202" t="s">
        <v>2540</v>
      </c>
      <c r="J6" s="3203"/>
      <c r="K6" s="610" t="s">
        <v>2541</v>
      </c>
      <c r="L6" s="1130"/>
      <c r="M6" s="1131"/>
      <c r="N6" s="1131"/>
      <c r="O6" s="1131"/>
      <c r="P6" s="3194"/>
      <c r="Q6" s="3195"/>
      <c r="R6" s="3198"/>
      <c r="S6" s="3199"/>
      <c r="T6" s="3200"/>
      <c r="U6" s="3201"/>
      <c r="V6" s="3183"/>
      <c r="W6" s="3183"/>
      <c r="X6" s="1812"/>
      <c r="Y6" s="3200"/>
      <c r="Z6" s="3201"/>
      <c r="AA6" s="3186"/>
      <c r="AB6" s="3183"/>
      <c r="AC6" s="3186"/>
    </row>
    <row r="7" spans="1:29" s="117" customFormat="1" ht="14.5" thickBot="1">
      <c r="A7" s="408" t="s">
        <v>2542</v>
      </c>
      <c r="B7" s="409"/>
      <c r="C7" s="410">
        <f>'数据-取费表'!B2</f>
        <v>43879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6" t="s">
        <v>2543</v>
      </c>
      <c r="Q7" s="3208"/>
      <c r="R7" s="770" t="s">
        <v>17</v>
      </c>
      <c r="S7" s="771">
        <f t="shared" ref="S7:S15" si="0">F7</f>
        <v>0</v>
      </c>
      <c r="T7" s="770" t="s">
        <v>17</v>
      </c>
      <c r="U7" s="771">
        <f t="shared" ref="U7:U15" si="1">H7</f>
        <v>0</v>
      </c>
      <c r="V7" s="770" t="s">
        <v>17</v>
      </c>
      <c r="W7" s="771">
        <f t="shared" ref="W7:W15" si="2">J7</f>
        <v>0</v>
      </c>
      <c r="X7" s="772"/>
      <c r="Y7" s="3206" t="s">
        <v>2543</v>
      </c>
      <c r="Z7" s="3207"/>
      <c r="AA7" s="773" t="e">
        <f>D7/F7</f>
        <v>#DIV/0!</v>
      </c>
      <c r="AB7" s="773" t="e">
        <f>D7/H7</f>
        <v>#DIV/0!</v>
      </c>
      <c r="AC7" s="773" t="e">
        <f>D7/J7</f>
        <v>#DIV/0!</v>
      </c>
    </row>
    <row r="8" spans="1:29" s="117" customFormat="1" ht="14.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6" t="s">
        <v>2546</v>
      </c>
      <c r="Q8" s="3207"/>
      <c r="R8" s="770" t="s">
        <v>17</v>
      </c>
      <c r="S8" s="771">
        <f t="shared" si="0"/>
        <v>0</v>
      </c>
      <c r="T8" s="770" t="s">
        <v>17</v>
      </c>
      <c r="U8" s="771">
        <f t="shared" si="1"/>
        <v>0</v>
      </c>
      <c r="V8" s="770" t="s">
        <v>17</v>
      </c>
      <c r="W8" s="771">
        <f t="shared" si="2"/>
        <v>0</v>
      </c>
      <c r="X8" s="772"/>
      <c r="Y8" s="3206" t="s">
        <v>2546</v>
      </c>
      <c r="Z8" s="3207"/>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6" t="s">
        <v>2549</v>
      </c>
      <c r="Q9" s="1794" t="str">
        <f t="shared" ref="Q9:Q15" si="6">B9</f>
        <v>用途</v>
      </c>
      <c r="R9" s="770" t="s">
        <v>17</v>
      </c>
      <c r="S9" s="771">
        <f t="shared" si="0"/>
        <v>100</v>
      </c>
      <c r="T9" s="770" t="s">
        <v>17</v>
      </c>
      <c r="U9" s="771">
        <f t="shared" si="1"/>
        <v>100</v>
      </c>
      <c r="V9" s="770" t="s">
        <v>17</v>
      </c>
      <c r="W9" s="771">
        <f t="shared" si="2"/>
        <v>100</v>
      </c>
      <c r="X9" s="772"/>
      <c r="Y9" s="3024" t="s">
        <v>2550</v>
      </c>
      <c r="Z9" s="55" t="str">
        <f t="shared" ref="Z9:Z15" si="7">Q9</f>
        <v>用途</v>
      </c>
      <c r="AA9" s="773">
        <f t="shared" si="3"/>
        <v>1</v>
      </c>
      <c r="AB9" s="773">
        <f t="shared" si="4"/>
        <v>1</v>
      </c>
      <c r="AC9" s="773">
        <f t="shared" si="5"/>
        <v>1</v>
      </c>
    </row>
    <row r="10" spans="1:29" s="427" customFormat="1" ht="28">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6"/>
      <c r="Q10" s="1794"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6"/>
      <c r="Q11" s="1794"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6"/>
      <c r="Q12" s="1794">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6"/>
      <c r="Q13" s="1794">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6"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6"/>
      <c r="Q14" s="1794">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70">
      <c r="A15" s="440" t="s">
        <v>2553</v>
      </c>
      <c r="B15" s="69" t="s">
        <v>2647</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6" t="s">
        <v>2554</v>
      </c>
      <c r="Q15" s="1809" t="str">
        <f t="shared" si="6"/>
        <v>商业繁华度</v>
      </c>
      <c r="R15" s="774" t="s">
        <v>17</v>
      </c>
      <c r="S15" s="775">
        <f t="shared" si="0"/>
        <v>100</v>
      </c>
      <c r="T15" s="774" t="s">
        <v>17</v>
      </c>
      <c r="U15" s="775">
        <f t="shared" si="1"/>
        <v>100</v>
      </c>
      <c r="V15" s="774" t="s">
        <v>17</v>
      </c>
      <c r="W15" s="775">
        <f t="shared" si="2"/>
        <v>100</v>
      </c>
      <c r="X15" s="1812"/>
      <c r="Y15" s="3179" t="s">
        <v>2554</v>
      </c>
      <c r="Z15" s="1813" t="str">
        <f t="shared" si="7"/>
        <v>商业繁华度</v>
      </c>
      <c r="AA15" s="1810">
        <f t="shared" si="3"/>
        <v>1</v>
      </c>
      <c r="AB15" s="1810">
        <f t="shared" si="4"/>
        <v>1</v>
      </c>
      <c r="AC15" s="1810">
        <f t="shared" si="5"/>
        <v>1</v>
      </c>
    </row>
    <row r="16" spans="1:29" ht="15.5">
      <c r="A16" s="428"/>
      <c r="B16" s="446"/>
      <c r="C16" s="447"/>
      <c r="D16" s="448"/>
      <c r="E16" s="447"/>
      <c r="F16" s="449"/>
      <c r="G16" s="447"/>
      <c r="H16" s="450"/>
      <c r="I16" s="447"/>
      <c r="J16" s="448"/>
      <c r="K16" s="615"/>
      <c r="L16" s="1140"/>
      <c r="M16" s="1131"/>
      <c r="N16" s="1131"/>
      <c r="O16" s="1131"/>
      <c r="P16" s="3247"/>
      <c r="Q16" s="1809"/>
      <c r="R16" s="774"/>
      <c r="S16" s="775"/>
      <c r="T16" s="774"/>
      <c r="U16" s="775"/>
      <c r="V16" s="774"/>
      <c r="W16" s="775"/>
      <c r="X16" s="1812"/>
      <c r="Y16" s="3180"/>
      <c r="Z16" s="1813"/>
      <c r="AA16" s="1810">
        <v>1</v>
      </c>
      <c r="AB16" s="1810">
        <v>1</v>
      </c>
      <c r="AC16" s="1810">
        <v>1</v>
      </c>
    </row>
    <row r="17" spans="1:29" ht="84">
      <c r="A17" s="428"/>
      <c r="B17" s="451" t="s">
        <v>2094</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7"/>
      <c r="Q17" s="1809" t="str">
        <f>B17</f>
        <v>交通便捷度</v>
      </c>
      <c r="R17" s="774" t="s">
        <v>17</v>
      </c>
      <c r="S17" s="775">
        <f>F17</f>
        <v>100</v>
      </c>
      <c r="T17" s="774" t="s">
        <v>17</v>
      </c>
      <c r="U17" s="775">
        <f>H17</f>
        <v>100</v>
      </c>
      <c r="V17" s="774" t="s">
        <v>17</v>
      </c>
      <c r="W17" s="775">
        <f>J17</f>
        <v>100</v>
      </c>
      <c r="X17" s="1812"/>
      <c r="Y17" s="3180"/>
      <c r="Z17" s="1813" t="str">
        <f>Q17</f>
        <v>交通便捷度</v>
      </c>
      <c r="AA17" s="1810">
        <f t="shared" si="3"/>
        <v>1</v>
      </c>
      <c r="AB17" s="1810">
        <f t="shared" si="4"/>
        <v>1</v>
      </c>
      <c r="AC17" s="1810">
        <f t="shared" si="5"/>
        <v>1</v>
      </c>
    </row>
    <row r="18" spans="1:29" ht="15.5">
      <c r="A18" s="428"/>
      <c r="B18" s="456"/>
      <c r="C18" s="2608"/>
      <c r="D18" s="450"/>
      <c r="E18" s="2610"/>
      <c r="F18" s="453"/>
      <c r="G18" s="2609"/>
      <c r="H18" s="448"/>
      <c r="I18" s="2610"/>
      <c r="J18" s="448"/>
      <c r="K18" s="615"/>
      <c r="L18" s="1140"/>
      <c r="M18" s="1131"/>
      <c r="N18" s="1131"/>
      <c r="O18" s="1131"/>
      <c r="P18" s="3247"/>
      <c r="Q18" s="1809"/>
      <c r="R18" s="774"/>
      <c r="S18" s="775"/>
      <c r="T18" s="774"/>
      <c r="U18" s="775"/>
      <c r="V18" s="774"/>
      <c r="W18" s="775"/>
      <c r="X18" s="1812"/>
      <c r="Y18" s="3180"/>
      <c r="Z18" s="1813"/>
      <c r="AA18" s="1810">
        <v>1</v>
      </c>
      <c r="AB18" s="1810">
        <v>1</v>
      </c>
      <c r="AC18" s="1810">
        <v>1</v>
      </c>
    </row>
    <row r="19" spans="1:29" ht="42">
      <c r="A19" s="428"/>
      <c r="B19" s="451" t="s">
        <v>2648</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7"/>
      <c r="Q19" s="1809" t="str">
        <f>B19</f>
        <v>公共配套设施</v>
      </c>
      <c r="R19" s="774" t="s">
        <v>17</v>
      </c>
      <c r="S19" s="775">
        <f>F19</f>
        <v>100</v>
      </c>
      <c r="T19" s="774" t="s">
        <v>17</v>
      </c>
      <c r="U19" s="775">
        <f>H19</f>
        <v>100</v>
      </c>
      <c r="V19" s="774" t="s">
        <v>17</v>
      </c>
      <c r="W19" s="775">
        <f>J19</f>
        <v>100</v>
      </c>
      <c r="X19" s="1812"/>
      <c r="Y19" s="3180"/>
      <c r="Z19" s="1813" t="str">
        <f>Q19</f>
        <v>公共配套设施</v>
      </c>
      <c r="AA19" s="1810">
        <f t="shared" si="3"/>
        <v>1</v>
      </c>
      <c r="AB19" s="1810">
        <f t="shared" si="4"/>
        <v>1</v>
      </c>
      <c r="AC19" s="1810">
        <f t="shared" si="5"/>
        <v>1</v>
      </c>
    </row>
    <row r="20" spans="1:29" ht="15.5">
      <c r="A20" s="428"/>
      <c r="B20" s="456"/>
      <c r="C20" s="447"/>
      <c r="D20" s="448"/>
      <c r="E20" s="2605"/>
      <c r="F20" s="449"/>
      <c r="G20" s="2604"/>
      <c r="H20" s="448"/>
      <c r="I20" s="2605"/>
      <c r="J20" s="448"/>
      <c r="K20" s="615"/>
      <c r="L20" s="1140"/>
      <c r="M20" s="1131"/>
      <c r="N20" s="1131"/>
      <c r="O20" s="1131"/>
      <c r="P20" s="3247"/>
      <c r="Q20" s="1809"/>
      <c r="R20" s="774"/>
      <c r="S20" s="775"/>
      <c r="T20" s="774"/>
      <c r="U20" s="775"/>
      <c r="V20" s="774"/>
      <c r="W20" s="775"/>
      <c r="X20" s="1812"/>
      <c r="Y20" s="3180"/>
      <c r="Z20" s="1813"/>
      <c r="AA20" s="1810">
        <v>1</v>
      </c>
      <c r="AB20" s="1810">
        <v>1</v>
      </c>
      <c r="AC20" s="1810">
        <v>1</v>
      </c>
    </row>
    <row r="21" spans="1:29" ht="28">
      <c r="A21" s="428"/>
      <c r="B21" s="1384" t="s">
        <v>2649</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7"/>
      <c r="Q21" s="1809" t="str">
        <f>B21</f>
        <v>基础设施水平</v>
      </c>
      <c r="R21" s="774" t="s">
        <v>17</v>
      </c>
      <c r="S21" s="775">
        <f>F21</f>
        <v>100</v>
      </c>
      <c r="T21" s="774" t="s">
        <v>17</v>
      </c>
      <c r="U21" s="775">
        <f>H21</f>
        <v>100</v>
      </c>
      <c r="V21" s="774" t="s">
        <v>17</v>
      </c>
      <c r="W21" s="775">
        <f>J21</f>
        <v>100</v>
      </c>
      <c r="X21" s="1812"/>
      <c r="Y21" s="3180"/>
      <c r="Z21" s="1813" t="str">
        <f>Q21</f>
        <v>基础设施水平</v>
      </c>
      <c r="AA21" s="1810">
        <f>D21/F21</f>
        <v>1</v>
      </c>
      <c r="AB21" s="1810">
        <f>D21/H21</f>
        <v>1</v>
      </c>
      <c r="AC21" s="1810">
        <f>D21/J21</f>
        <v>1</v>
      </c>
    </row>
    <row r="22" spans="1:29" ht="15.5">
      <c r="A22" s="428"/>
      <c r="B22" s="1384"/>
      <c r="C22" s="2608"/>
      <c r="D22" s="448"/>
      <c r="E22" s="447"/>
      <c r="F22" s="449"/>
      <c r="G22" s="447"/>
      <c r="H22" s="448"/>
      <c r="I22" s="447"/>
      <c r="J22" s="448"/>
      <c r="K22" s="1383"/>
      <c r="L22" s="1140"/>
      <c r="M22" s="1131"/>
      <c r="N22" s="1131"/>
      <c r="O22" s="1131"/>
      <c r="P22" s="3247"/>
      <c r="Q22" s="1809"/>
      <c r="R22" s="774"/>
      <c r="S22" s="775"/>
      <c r="T22" s="774"/>
      <c r="U22" s="775"/>
      <c r="V22" s="774"/>
      <c r="W22" s="775"/>
      <c r="X22" s="1812"/>
      <c r="Y22" s="3180"/>
      <c r="Z22" s="1813"/>
      <c r="AA22" s="1810">
        <v>1</v>
      </c>
      <c r="AB22" s="1810">
        <v>1</v>
      </c>
      <c r="AC22" s="1810">
        <v>1</v>
      </c>
    </row>
    <row r="23" spans="1:29" ht="56">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7"/>
      <c r="Q23" s="1809" t="str">
        <f>B23</f>
        <v>自然及人文环境</v>
      </c>
      <c r="R23" s="774" t="s">
        <v>17</v>
      </c>
      <c r="S23" s="775">
        <f>F23</f>
        <v>100</v>
      </c>
      <c r="T23" s="774" t="s">
        <v>17</v>
      </c>
      <c r="U23" s="775">
        <f>H23</f>
        <v>100</v>
      </c>
      <c r="V23" s="774" t="s">
        <v>17</v>
      </c>
      <c r="W23" s="775">
        <f>J23</f>
        <v>100</v>
      </c>
      <c r="X23" s="1812"/>
      <c r="Y23" s="3180"/>
      <c r="Z23" s="1813" t="str">
        <f>Q23</f>
        <v>自然及人文环境</v>
      </c>
      <c r="AA23" s="1810">
        <f t="shared" si="3"/>
        <v>1</v>
      </c>
      <c r="AB23" s="1810">
        <f t="shared" si="4"/>
        <v>1</v>
      </c>
      <c r="AC23" s="1810">
        <f t="shared" si="5"/>
        <v>1</v>
      </c>
    </row>
    <row r="24" spans="1:29" ht="15.5">
      <c r="A24" s="428"/>
      <c r="B24" s="456"/>
      <c r="C24" s="447"/>
      <c r="D24" s="448"/>
      <c r="E24" s="2605"/>
      <c r="F24" s="449"/>
      <c r="G24" s="2604"/>
      <c r="H24" s="448"/>
      <c r="I24" s="2605"/>
      <c r="J24" s="448"/>
      <c r="K24" s="615"/>
      <c r="L24" s="1140"/>
      <c r="M24" s="1131"/>
      <c r="N24" s="1131"/>
      <c r="O24" s="1131"/>
      <c r="P24" s="3247"/>
      <c r="Q24" s="1809"/>
      <c r="R24" s="774"/>
      <c r="S24" s="775"/>
      <c r="T24" s="774"/>
      <c r="U24" s="775"/>
      <c r="V24" s="774"/>
      <c r="W24" s="775"/>
      <c r="X24" s="1812"/>
      <c r="Y24" s="3180"/>
      <c r="Z24" s="1813"/>
      <c r="AA24" s="1810">
        <v>1</v>
      </c>
      <c r="AB24" s="1810">
        <v>1</v>
      </c>
      <c r="AC24" s="1810">
        <v>1</v>
      </c>
    </row>
    <row r="25" spans="1:29" ht="15.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7"/>
      <c r="Q25" s="1809" t="str">
        <f t="shared" ref="Q25:Q46" si="8">B25</f>
        <v>临街状况</v>
      </c>
      <c r="R25" s="774" t="s">
        <v>17</v>
      </c>
      <c r="S25" s="775">
        <f>F25</f>
        <v>100</v>
      </c>
      <c r="T25" s="774" t="s">
        <v>17</v>
      </c>
      <c r="U25" s="775">
        <f>H25</f>
        <v>100</v>
      </c>
      <c r="V25" s="774" t="s">
        <v>17</v>
      </c>
      <c r="W25" s="775">
        <f>J25</f>
        <v>100</v>
      </c>
      <c r="X25" s="1812"/>
      <c r="Y25" s="3180"/>
      <c r="Z25" s="1813" t="str">
        <f>Q25</f>
        <v>临街状况</v>
      </c>
      <c r="AA25" s="1810">
        <f t="shared" si="3"/>
        <v>1</v>
      </c>
      <c r="AB25" s="1810">
        <f t="shared" si="4"/>
        <v>1</v>
      </c>
      <c r="AC25" s="1810">
        <f t="shared" si="5"/>
        <v>1</v>
      </c>
    </row>
    <row r="26" spans="1:29" ht="15.5">
      <c r="A26" s="428"/>
      <c r="B26" s="1386" t="s">
        <v>2651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7"/>
      <c r="Q26" s="1809" t="str">
        <f t="shared" si="8"/>
        <v>平面位置/可视性</v>
      </c>
      <c r="R26" s="774" t="s">
        <v>17</v>
      </c>
      <c r="S26" s="775">
        <f>F26</f>
        <v>100</v>
      </c>
      <c r="T26" s="774" t="s">
        <v>17</v>
      </c>
      <c r="U26" s="775">
        <f>H26</f>
        <v>100</v>
      </c>
      <c r="V26" s="774" t="s">
        <v>17</v>
      </c>
      <c r="W26" s="775">
        <f>J26</f>
        <v>100</v>
      </c>
      <c r="X26" s="1812"/>
      <c r="Y26" s="3180"/>
      <c r="Z26" s="1813" t="str">
        <f>Q26</f>
        <v>平面位置/可视性</v>
      </c>
      <c r="AA26" s="1810">
        <f t="shared" si="3"/>
        <v>1</v>
      </c>
      <c r="AB26" s="1810">
        <f t="shared" si="4"/>
        <v>1</v>
      </c>
      <c r="AC26" s="1810">
        <f t="shared" si="5"/>
        <v>1</v>
      </c>
    </row>
    <row r="27" spans="1:29" s="117" customFormat="1" ht="15.5">
      <c r="A27" s="431"/>
      <c r="B27" s="451" t="s">
        <v>2652</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47"/>
      <c r="Q27" s="1794" t="str">
        <f t="shared" si="8"/>
        <v>人流量</v>
      </c>
      <c r="R27" s="770" t="s">
        <v>17</v>
      </c>
      <c r="S27" s="771">
        <f>F27</f>
        <v>100</v>
      </c>
      <c r="T27" s="770" t="s">
        <v>17</v>
      </c>
      <c r="U27" s="771">
        <f>H27</f>
        <v>100</v>
      </c>
      <c r="V27" s="770" t="s">
        <v>17</v>
      </c>
      <c r="W27" s="771">
        <f>J27</f>
        <v>100</v>
      </c>
      <c r="X27" s="772"/>
      <c r="Y27" s="3180"/>
      <c r="Z27" s="55" t="str">
        <f>Q27</f>
        <v>人流量</v>
      </c>
      <c r="AA27" s="1810">
        <f>D27/F27</f>
        <v>1</v>
      </c>
      <c r="AB27" s="1810">
        <f>D27/H27</f>
        <v>1</v>
      </c>
      <c r="AC27" s="1810">
        <f>D27/J27</f>
        <v>1</v>
      </c>
    </row>
    <row r="28" spans="1:29" ht="15.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7"/>
      <c r="Q28" s="1809" t="str">
        <f t="shared" si="8"/>
        <v>楼层</v>
      </c>
      <c r="R28" s="774" t="s">
        <v>17</v>
      </c>
      <c r="S28" s="775">
        <f t="shared" ref="S28:S46" si="9">F28</f>
        <v>100</v>
      </c>
      <c r="T28" s="774" t="s">
        <v>17</v>
      </c>
      <c r="U28" s="775">
        <f t="shared" ref="U28:U46" si="10">H28</f>
        <v>100</v>
      </c>
      <c r="V28" s="774" t="s">
        <v>17</v>
      </c>
      <c r="W28" s="775">
        <f t="shared" ref="W28:W46" si="11">J28</f>
        <v>100</v>
      </c>
      <c r="X28" s="1812"/>
      <c r="Y28" s="3180"/>
      <c r="Z28" s="1813" t="str">
        <f t="shared" ref="Z28:Z46" si="12">Q28</f>
        <v>楼层</v>
      </c>
      <c r="AA28" s="1810">
        <f t="shared" si="3"/>
        <v>1</v>
      </c>
      <c r="AB28" s="1810">
        <f t="shared" si="4"/>
        <v>1</v>
      </c>
      <c r="AC28" s="1810">
        <f t="shared" si="5"/>
        <v>1</v>
      </c>
    </row>
    <row r="29" spans="1:29" ht="15.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7"/>
      <c r="Q29" s="1809">
        <f t="shared" si="8"/>
        <v>111</v>
      </c>
      <c r="R29" s="774" t="s">
        <v>17</v>
      </c>
      <c r="S29" s="775">
        <f t="shared" si="9"/>
        <v>100</v>
      </c>
      <c r="T29" s="774" t="s">
        <v>17</v>
      </c>
      <c r="U29" s="775">
        <f t="shared" si="10"/>
        <v>100</v>
      </c>
      <c r="V29" s="774" t="s">
        <v>17</v>
      </c>
      <c r="W29" s="775">
        <f t="shared" si="11"/>
        <v>100</v>
      </c>
      <c r="X29" s="1812"/>
      <c r="Y29" s="3180"/>
      <c r="Z29" s="1813">
        <f t="shared" si="12"/>
        <v>111</v>
      </c>
      <c r="AA29" s="1810">
        <f t="shared" si="3"/>
        <v>1</v>
      </c>
      <c r="AB29" s="1810">
        <f t="shared" si="4"/>
        <v>1</v>
      </c>
      <c r="AC29" s="1810">
        <f t="shared" si="5"/>
        <v>1</v>
      </c>
    </row>
    <row r="30" spans="1:29" ht="15.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7"/>
      <c r="Q30" s="1809">
        <f t="shared" si="8"/>
        <v>111</v>
      </c>
      <c r="R30" s="774" t="s">
        <v>17</v>
      </c>
      <c r="S30" s="775">
        <f t="shared" si="9"/>
        <v>100</v>
      </c>
      <c r="T30" s="774" t="s">
        <v>17</v>
      </c>
      <c r="U30" s="775">
        <f t="shared" si="10"/>
        <v>100</v>
      </c>
      <c r="V30" s="774" t="s">
        <v>17</v>
      </c>
      <c r="W30" s="775">
        <f t="shared" si="11"/>
        <v>100</v>
      </c>
      <c r="X30" s="1812"/>
      <c r="Y30" s="3180"/>
      <c r="Z30" s="1813">
        <f t="shared" si="12"/>
        <v>111</v>
      </c>
      <c r="AA30" s="1810">
        <f t="shared" si="3"/>
        <v>1</v>
      </c>
      <c r="AB30" s="1810">
        <f t="shared" si="4"/>
        <v>1</v>
      </c>
      <c r="AC30" s="1810">
        <f t="shared" si="5"/>
        <v>1</v>
      </c>
    </row>
    <row r="31" spans="1:29" ht="1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7"/>
      <c r="Q31" s="1809">
        <f t="shared" si="8"/>
        <v>111</v>
      </c>
      <c r="R31" s="774" t="s">
        <v>17</v>
      </c>
      <c r="S31" s="775">
        <f t="shared" si="9"/>
        <v>100</v>
      </c>
      <c r="T31" s="774" t="s">
        <v>17</v>
      </c>
      <c r="U31" s="775">
        <f t="shared" si="10"/>
        <v>100</v>
      </c>
      <c r="V31" s="774" t="s">
        <v>17</v>
      </c>
      <c r="W31" s="775">
        <f t="shared" si="11"/>
        <v>100</v>
      </c>
      <c r="X31" s="1812"/>
      <c r="Y31" s="3180"/>
      <c r="Z31" s="1813">
        <f t="shared" si="12"/>
        <v>111</v>
      </c>
      <c r="AA31" s="1810">
        <f t="shared" si="3"/>
        <v>1</v>
      </c>
      <c r="AB31" s="1810">
        <f t="shared" si="4"/>
        <v>1</v>
      </c>
      <c r="AC31" s="1810">
        <f t="shared" si="5"/>
        <v>1</v>
      </c>
    </row>
    <row r="32" spans="1:29" ht="15.5">
      <c r="A32" s="440" t="s">
        <v>2557</v>
      </c>
      <c r="B32" s="71" t="s">
        <v>2654</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42" t="s">
        <v>2559</v>
      </c>
      <c r="Q32" s="1809" t="str">
        <f t="shared" si="8"/>
        <v>商业类型</v>
      </c>
      <c r="R32" s="774" t="s">
        <v>17</v>
      </c>
      <c r="S32" s="775">
        <f t="shared" si="9"/>
        <v>100</v>
      </c>
      <c r="T32" s="774" t="s">
        <v>17</v>
      </c>
      <c r="U32" s="775">
        <f t="shared" si="10"/>
        <v>100</v>
      </c>
      <c r="V32" s="774" t="s">
        <v>17</v>
      </c>
      <c r="W32" s="775">
        <f t="shared" si="11"/>
        <v>100</v>
      </c>
      <c r="X32" s="1812"/>
      <c r="Y32" s="3182" t="s">
        <v>2559</v>
      </c>
      <c r="Z32" s="1813" t="str">
        <f t="shared" si="12"/>
        <v>商业类型</v>
      </c>
      <c r="AA32" s="1810">
        <f t="shared" si="3"/>
        <v>1</v>
      </c>
      <c r="AB32" s="1810">
        <f t="shared" si="4"/>
        <v>1</v>
      </c>
      <c r="AC32" s="1810">
        <f t="shared" si="5"/>
        <v>1</v>
      </c>
    </row>
    <row r="33" spans="1:29" s="471" customFormat="1" ht="15.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3"/>
      <c r="Q33" s="776" t="str">
        <f t="shared" si="8"/>
        <v>项目建筑规模</v>
      </c>
      <c r="R33" s="777" t="s">
        <v>17</v>
      </c>
      <c r="S33" s="778" t="e">
        <f t="shared" si="9"/>
        <v>#N/A</v>
      </c>
      <c r="T33" s="777" t="s">
        <v>17</v>
      </c>
      <c r="U33" s="778" t="e">
        <f t="shared" si="10"/>
        <v>#N/A</v>
      </c>
      <c r="V33" s="777" t="s">
        <v>17</v>
      </c>
      <c r="W33" s="778" t="e">
        <f t="shared" si="11"/>
        <v>#N/A</v>
      </c>
      <c r="X33" s="779"/>
      <c r="Y33" s="3182"/>
      <c r="Z33" s="780" t="str">
        <f t="shared" si="12"/>
        <v>项目建筑规模</v>
      </c>
      <c r="AA33" s="1810" t="e">
        <f t="shared" si="3"/>
        <v>#N/A</v>
      </c>
      <c r="AB33" s="1810" t="e">
        <f t="shared" si="4"/>
        <v>#N/A</v>
      </c>
      <c r="AC33" s="1810" t="e">
        <f t="shared" si="5"/>
        <v>#N/A</v>
      </c>
    </row>
    <row r="34" spans="1:29" ht="15.5">
      <c r="A34" s="472"/>
      <c r="B34" s="422" t="s">
        <v>2561</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43"/>
      <c r="Q34" s="1809" t="str">
        <f t="shared" si="8"/>
        <v>建筑结构</v>
      </c>
      <c r="R34" s="774" t="s">
        <v>17</v>
      </c>
      <c r="S34" s="775">
        <f t="shared" si="9"/>
        <v>100</v>
      </c>
      <c r="T34" s="774" t="s">
        <v>17</v>
      </c>
      <c r="U34" s="775">
        <f t="shared" si="10"/>
        <v>100</v>
      </c>
      <c r="V34" s="774" t="s">
        <v>17</v>
      </c>
      <c r="W34" s="775">
        <f t="shared" si="11"/>
        <v>100</v>
      </c>
      <c r="X34" s="1812"/>
      <c r="Y34" s="3182"/>
      <c r="Z34" s="1813" t="str">
        <f t="shared" si="12"/>
        <v>建筑结构</v>
      </c>
      <c r="AA34" s="1810">
        <f t="shared" si="3"/>
        <v>1</v>
      </c>
      <c r="AB34" s="1810">
        <f t="shared" si="4"/>
        <v>1</v>
      </c>
      <c r="AC34" s="1810">
        <f t="shared" si="5"/>
        <v>1</v>
      </c>
    </row>
    <row r="35" spans="1:29" ht="15.5">
      <c r="A35" s="472"/>
      <c r="B35" s="422" t="s">
        <v>2655</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43"/>
      <c r="Q35" s="1809" t="str">
        <f t="shared" si="8"/>
        <v>公共部分装修</v>
      </c>
      <c r="R35" s="774" t="s">
        <v>17</v>
      </c>
      <c r="S35" s="775">
        <f t="shared" si="9"/>
        <v>100</v>
      </c>
      <c r="T35" s="774" t="s">
        <v>17</v>
      </c>
      <c r="U35" s="775">
        <f t="shared" si="10"/>
        <v>100</v>
      </c>
      <c r="V35" s="774" t="s">
        <v>17</v>
      </c>
      <c r="W35" s="775">
        <f t="shared" si="11"/>
        <v>100</v>
      </c>
      <c r="X35" s="1812"/>
      <c r="Y35" s="3182"/>
      <c r="Z35" s="1813" t="str">
        <f t="shared" si="12"/>
        <v>公共部分装修</v>
      </c>
      <c r="AA35" s="1810">
        <f t="shared" si="3"/>
        <v>1</v>
      </c>
      <c r="AB35" s="1810">
        <f t="shared" si="4"/>
        <v>1</v>
      </c>
      <c r="AC35" s="1810">
        <f t="shared" si="5"/>
        <v>1</v>
      </c>
    </row>
    <row r="36" spans="1:29" ht="15.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3"/>
      <c r="Q36" s="1809" t="str">
        <f t="shared" si="8"/>
        <v>成新度</v>
      </c>
      <c r="R36" s="774" t="s">
        <v>17</v>
      </c>
      <c r="S36" s="775" t="e">
        <f t="shared" si="9"/>
        <v>#N/A</v>
      </c>
      <c r="T36" s="774" t="s">
        <v>17</v>
      </c>
      <c r="U36" s="775" t="e">
        <f t="shared" si="10"/>
        <v>#N/A</v>
      </c>
      <c r="V36" s="774" t="s">
        <v>17</v>
      </c>
      <c r="W36" s="775" t="e">
        <f t="shared" si="11"/>
        <v>#N/A</v>
      </c>
      <c r="X36" s="1812"/>
      <c r="Y36" s="3182"/>
      <c r="Z36" s="1813" t="str">
        <f t="shared" si="12"/>
        <v>成新度</v>
      </c>
      <c r="AA36" s="1810" t="e">
        <f t="shared" si="3"/>
        <v>#N/A</v>
      </c>
      <c r="AB36" s="1810" t="e">
        <f t="shared" si="4"/>
        <v>#N/A</v>
      </c>
      <c r="AC36" s="1810" t="e">
        <f t="shared" si="5"/>
        <v>#N/A</v>
      </c>
    </row>
    <row r="37" spans="1:29" s="117" customFormat="1" ht="15.5">
      <c r="A37" s="473"/>
      <c r="B37" s="422" t="s">
        <v>2657</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43"/>
      <c r="Q37" s="1794" t="str">
        <f t="shared" si="8"/>
        <v>市政基础设施</v>
      </c>
      <c r="R37" s="770" t="s">
        <v>17</v>
      </c>
      <c r="S37" s="771">
        <f t="shared" si="9"/>
        <v>100</v>
      </c>
      <c r="T37" s="770" t="s">
        <v>17</v>
      </c>
      <c r="U37" s="771">
        <f t="shared" si="10"/>
        <v>100</v>
      </c>
      <c r="V37" s="770" t="s">
        <v>17</v>
      </c>
      <c r="W37" s="771">
        <f t="shared" si="11"/>
        <v>100</v>
      </c>
      <c r="X37" s="772"/>
      <c r="Y37" s="3182"/>
      <c r="Z37" s="55" t="str">
        <f t="shared" si="12"/>
        <v>市政基础设施</v>
      </c>
      <c r="AA37" s="773">
        <f t="shared" si="3"/>
        <v>1</v>
      </c>
      <c r="AB37" s="773">
        <f t="shared" si="4"/>
        <v>1</v>
      </c>
      <c r="AC37" s="773">
        <f t="shared" si="5"/>
        <v>1</v>
      </c>
    </row>
    <row r="38" spans="1:29" ht="15.5">
      <c r="A38" s="472"/>
      <c r="B38" s="422" t="s">
        <v>2658</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43" t="s">
        <v>2559</v>
      </c>
      <c r="Q38" s="1809" t="str">
        <f t="shared" si="8"/>
        <v>业态</v>
      </c>
      <c r="R38" s="774" t="s">
        <v>17</v>
      </c>
      <c r="S38" s="775">
        <f t="shared" si="9"/>
        <v>100</v>
      </c>
      <c r="T38" s="774" t="s">
        <v>17</v>
      </c>
      <c r="U38" s="775">
        <f t="shared" si="10"/>
        <v>100</v>
      </c>
      <c r="V38" s="774" t="s">
        <v>17</v>
      </c>
      <c r="W38" s="775">
        <f t="shared" si="11"/>
        <v>100</v>
      </c>
      <c r="X38" s="1812"/>
      <c r="Y38" s="3182" t="s">
        <v>2559</v>
      </c>
      <c r="Z38" s="1813" t="str">
        <f t="shared" si="12"/>
        <v>业态</v>
      </c>
      <c r="AA38" s="1810">
        <f t="shared" si="3"/>
        <v>1</v>
      </c>
      <c r="AB38" s="1810">
        <f t="shared" si="4"/>
        <v>1</v>
      </c>
      <c r="AC38" s="1810">
        <f t="shared" si="5"/>
        <v>1</v>
      </c>
    </row>
    <row r="39" spans="1:29" ht="15.5">
      <c r="A39" s="472"/>
      <c r="B39" s="422" t="s">
        <v>2659</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43"/>
      <c r="Q39" s="1809" t="str">
        <f t="shared" si="8"/>
        <v>层高</v>
      </c>
      <c r="R39" s="774" t="s">
        <v>17</v>
      </c>
      <c r="S39" s="775">
        <f t="shared" si="9"/>
        <v>100</v>
      </c>
      <c r="T39" s="774" t="s">
        <v>17</v>
      </c>
      <c r="U39" s="775">
        <f t="shared" si="10"/>
        <v>100</v>
      </c>
      <c r="V39" s="774" t="s">
        <v>17</v>
      </c>
      <c r="W39" s="775">
        <f t="shared" si="11"/>
        <v>100</v>
      </c>
      <c r="X39" s="1812"/>
      <c r="Y39" s="3182"/>
      <c r="Z39" s="1813" t="str">
        <f t="shared" si="12"/>
        <v>层高</v>
      </c>
      <c r="AA39" s="1810">
        <f t="shared" si="3"/>
        <v>1</v>
      </c>
      <c r="AB39" s="1810">
        <f t="shared" si="4"/>
        <v>1</v>
      </c>
      <c r="AC39" s="1810">
        <f t="shared" si="5"/>
        <v>1</v>
      </c>
    </row>
    <row r="40" spans="1:29" ht="15.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3"/>
      <c r="Q40" s="1809" t="str">
        <f t="shared" si="8"/>
        <v>单套建筑面积</v>
      </c>
      <c r="R40" s="774" t="s">
        <v>17</v>
      </c>
      <c r="S40" s="775">
        <f t="shared" si="9"/>
        <v>100</v>
      </c>
      <c r="T40" s="774" t="s">
        <v>17</v>
      </c>
      <c r="U40" s="775">
        <f t="shared" si="10"/>
        <v>100</v>
      </c>
      <c r="V40" s="774" t="s">
        <v>17</v>
      </c>
      <c r="W40" s="775">
        <f t="shared" si="11"/>
        <v>100</v>
      </c>
      <c r="X40" s="1812"/>
      <c r="Y40" s="3182"/>
      <c r="Z40" s="1813" t="str">
        <f t="shared" si="12"/>
        <v>单套建筑面积</v>
      </c>
      <c r="AA40" s="1810">
        <f t="shared" si="3"/>
        <v>1</v>
      </c>
      <c r="AB40" s="1810">
        <f t="shared" si="4"/>
        <v>1</v>
      </c>
      <c r="AC40" s="1810">
        <f t="shared" si="5"/>
        <v>1</v>
      </c>
    </row>
    <row r="41" spans="1:29" s="471" customFormat="1" ht="15.5">
      <c r="A41" s="468"/>
      <c r="B41" s="1811"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3"/>
      <c r="Q41" s="776" t="str">
        <f t="shared" si="8"/>
        <v>进深比</v>
      </c>
      <c r="R41" s="777" t="s">
        <v>17</v>
      </c>
      <c r="S41" s="778">
        <f t="shared" si="9"/>
        <v>100</v>
      </c>
      <c r="T41" s="777" t="s">
        <v>17</v>
      </c>
      <c r="U41" s="778">
        <f t="shared" si="10"/>
        <v>100</v>
      </c>
      <c r="V41" s="777" t="s">
        <v>17</v>
      </c>
      <c r="W41" s="778">
        <f t="shared" si="11"/>
        <v>100</v>
      </c>
      <c r="X41" s="779"/>
      <c r="Y41" s="3182"/>
      <c r="Z41" s="780" t="str">
        <f t="shared" si="12"/>
        <v>进深比</v>
      </c>
      <c r="AA41" s="1810">
        <f t="shared" si="3"/>
        <v>1</v>
      </c>
      <c r="AB41" s="1810">
        <f t="shared" si="4"/>
        <v>1</v>
      </c>
      <c r="AC41" s="1810">
        <f t="shared" si="5"/>
        <v>1</v>
      </c>
    </row>
    <row r="42" spans="1:29" ht="15.5">
      <c r="A42" s="472"/>
      <c r="B42" s="422" t="s">
        <v>2662</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43"/>
      <c r="Q42" s="1809" t="str">
        <f t="shared" si="8"/>
        <v>内部装修</v>
      </c>
      <c r="R42" s="774" t="s">
        <v>17</v>
      </c>
      <c r="S42" s="775">
        <f t="shared" si="9"/>
        <v>100</v>
      </c>
      <c r="T42" s="774" t="s">
        <v>17</v>
      </c>
      <c r="U42" s="775">
        <f t="shared" si="10"/>
        <v>100</v>
      </c>
      <c r="V42" s="774" t="s">
        <v>17</v>
      </c>
      <c r="W42" s="775">
        <f t="shared" si="11"/>
        <v>100</v>
      </c>
      <c r="X42" s="1812"/>
      <c r="Y42" s="3182"/>
      <c r="Z42" s="1813" t="str">
        <f t="shared" si="12"/>
        <v>内部装修</v>
      </c>
      <c r="AA42" s="1810">
        <f t="shared" si="3"/>
        <v>1</v>
      </c>
      <c r="AB42" s="1810">
        <f t="shared" si="4"/>
        <v>1</v>
      </c>
      <c r="AC42" s="1810">
        <f t="shared" si="5"/>
        <v>1</v>
      </c>
    </row>
    <row r="43" spans="1:29" ht="28">
      <c r="A43" s="472"/>
      <c r="B43" s="422" t="s">
        <v>2570</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43"/>
      <c r="Q43" s="1809" t="str">
        <f t="shared" si="8"/>
        <v>内部装修维护情况</v>
      </c>
      <c r="R43" s="774" t="s">
        <v>17</v>
      </c>
      <c r="S43" s="775">
        <f t="shared" si="9"/>
        <v>100</v>
      </c>
      <c r="T43" s="774" t="s">
        <v>17</v>
      </c>
      <c r="U43" s="775">
        <f t="shared" si="10"/>
        <v>100</v>
      </c>
      <c r="V43" s="774" t="s">
        <v>17</v>
      </c>
      <c r="W43" s="775">
        <f t="shared" si="11"/>
        <v>100</v>
      </c>
      <c r="X43" s="1812"/>
      <c r="Y43" s="3182"/>
      <c r="Z43" s="1813" t="str">
        <f t="shared" si="12"/>
        <v>内部装修维护情况</v>
      </c>
      <c r="AA43" s="1810">
        <f t="shared" si="3"/>
        <v>1</v>
      </c>
      <c r="AB43" s="1810">
        <f t="shared" si="4"/>
        <v>1</v>
      </c>
      <c r="AC43" s="1810">
        <f t="shared" si="5"/>
        <v>1</v>
      </c>
    </row>
    <row r="44" spans="1:29" s="117" customFormat="1" ht="15.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3"/>
      <c r="Q44" s="1794">
        <f t="shared" si="8"/>
        <v>111</v>
      </c>
      <c r="R44" s="770" t="s">
        <v>17</v>
      </c>
      <c r="S44" s="771">
        <f t="shared" si="9"/>
        <v>100</v>
      </c>
      <c r="T44" s="770" t="s">
        <v>17</v>
      </c>
      <c r="U44" s="771">
        <f t="shared" si="10"/>
        <v>100</v>
      </c>
      <c r="V44" s="770" t="s">
        <v>17</v>
      </c>
      <c r="W44" s="771">
        <f t="shared" si="11"/>
        <v>100</v>
      </c>
      <c r="X44" s="772"/>
      <c r="Y44" s="3182"/>
      <c r="Z44" s="55">
        <f t="shared" si="12"/>
        <v>111</v>
      </c>
      <c r="AA44" s="773">
        <f t="shared" si="3"/>
        <v>1</v>
      </c>
      <c r="AB44" s="773">
        <f t="shared" si="4"/>
        <v>1</v>
      </c>
      <c r="AC44" s="773">
        <f t="shared" si="5"/>
        <v>1</v>
      </c>
    </row>
    <row r="45" spans="1:29" ht="15.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3"/>
      <c r="Q45" s="1809">
        <f t="shared" si="8"/>
        <v>111</v>
      </c>
      <c r="R45" s="774" t="s">
        <v>17</v>
      </c>
      <c r="S45" s="775">
        <f t="shared" si="9"/>
        <v>100</v>
      </c>
      <c r="T45" s="774" t="s">
        <v>17</v>
      </c>
      <c r="U45" s="775">
        <f t="shared" si="10"/>
        <v>100</v>
      </c>
      <c r="V45" s="774" t="s">
        <v>17</v>
      </c>
      <c r="W45" s="775">
        <f t="shared" si="11"/>
        <v>100</v>
      </c>
      <c r="X45" s="1812"/>
      <c r="Y45" s="3182"/>
      <c r="Z45" s="1813">
        <f t="shared" si="12"/>
        <v>111</v>
      </c>
      <c r="AA45" s="1810">
        <f t="shared" si="3"/>
        <v>1</v>
      </c>
      <c r="AB45" s="1810">
        <f t="shared" si="4"/>
        <v>1</v>
      </c>
      <c r="AC45" s="1810">
        <f t="shared" si="5"/>
        <v>1</v>
      </c>
    </row>
    <row r="46" spans="1:29" ht="16"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4"/>
      <c r="Q46" s="1809">
        <f t="shared" si="8"/>
        <v>111</v>
      </c>
      <c r="R46" s="774" t="s">
        <v>17</v>
      </c>
      <c r="S46" s="775">
        <f t="shared" si="9"/>
        <v>100</v>
      </c>
      <c r="T46" s="774" t="s">
        <v>17</v>
      </c>
      <c r="U46" s="775">
        <f t="shared" si="10"/>
        <v>100</v>
      </c>
      <c r="V46" s="774" t="s">
        <v>17</v>
      </c>
      <c r="W46" s="775">
        <f t="shared" si="11"/>
        <v>100</v>
      </c>
      <c r="X46" s="1812"/>
      <c r="Y46" s="3245"/>
      <c r="Z46" s="1813">
        <f t="shared" si="12"/>
        <v>111</v>
      </c>
      <c r="AA46" s="1810">
        <f t="shared" si="3"/>
        <v>1</v>
      </c>
      <c r="AB46" s="1810">
        <f t="shared" si="4"/>
        <v>1</v>
      </c>
      <c r="AC46" s="1810">
        <f t="shared" si="5"/>
        <v>1</v>
      </c>
    </row>
    <row r="47" spans="1:29">
      <c r="A47" s="479" t="s">
        <v>2571</v>
      </c>
      <c r="B47" s="480"/>
      <c r="C47" s="1407" t="s">
        <v>1</v>
      </c>
      <c r="D47" s="1408"/>
      <c r="E47" s="1409"/>
      <c r="F47" s="1410"/>
      <c r="G47" s="1411"/>
      <c r="H47" s="1412"/>
      <c r="I47" s="1409"/>
      <c r="J47" s="1412"/>
      <c r="K47" s="783"/>
      <c r="L47" s="1143"/>
      <c r="M47" s="1144"/>
      <c r="N47" s="1131"/>
      <c r="O47" s="1144"/>
      <c r="P47" s="3177" t="str">
        <f>A47</f>
        <v>成交单价（元/平方米）</v>
      </c>
      <c r="Q47" s="3177"/>
      <c r="R47" s="3183">
        <f>E47</f>
        <v>0</v>
      </c>
      <c r="S47" s="3183"/>
      <c r="T47" s="3183">
        <f>G47</f>
        <v>0</v>
      </c>
      <c r="U47" s="3183"/>
      <c r="V47" s="3183">
        <f>I47</f>
        <v>0</v>
      </c>
      <c r="W47" s="3183"/>
      <c r="X47" s="759"/>
      <c r="Y47" s="781"/>
      <c r="Z47" s="759"/>
      <c r="AA47" s="759"/>
      <c r="AB47" s="759"/>
      <c r="AC47" s="759"/>
    </row>
    <row r="48" spans="1:29" ht="14.5" thickBot="1">
      <c r="A48" s="486" t="s">
        <v>2663</v>
      </c>
      <c r="B48" s="487"/>
      <c r="C48" s="1413" t="e">
        <f>R49</f>
        <v>#DIV/0!</v>
      </c>
      <c r="D48" s="1414"/>
      <c r="E48" s="1415" t="e">
        <f>R48</f>
        <v>#DIV/0!</v>
      </c>
      <c r="F48" s="1415"/>
      <c r="G48" s="1413" t="e">
        <f>T48</f>
        <v>#DIV/0!</v>
      </c>
      <c r="H48" s="1414"/>
      <c r="I48" s="1415" t="e">
        <f>V48</f>
        <v>#DIV/0!</v>
      </c>
      <c r="J48" s="1414"/>
      <c r="K48" s="784"/>
      <c r="L48" s="1143"/>
      <c r="M48" s="1144"/>
      <c r="N48" s="1131"/>
      <c r="O48" s="1144"/>
      <c r="P48" s="3177" t="str">
        <f>A48</f>
        <v>比较价值（元/平方米）</v>
      </c>
      <c r="Q48" s="3177"/>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4.5" thickBot="1">
      <c r="A49" s="492" t="s">
        <v>2664</v>
      </c>
      <c r="B49" s="493"/>
      <c r="C49" s="1417" t="e">
        <f>R49</f>
        <v>#DIV/0!</v>
      </c>
      <c r="D49" s="1417"/>
      <c r="E49" s="1417"/>
      <c r="F49" s="1417"/>
      <c r="G49" s="1417"/>
      <c r="H49" s="1417"/>
      <c r="I49" s="1417"/>
      <c r="J49" s="1417"/>
      <c r="K49" s="785"/>
      <c r="L49" s="1143"/>
      <c r="M49" s="1144"/>
      <c r="N49" s="1131"/>
      <c r="O49" s="1144"/>
      <c r="P49" s="3171" t="str">
        <f>A49</f>
        <v>估价对象XX用房的比较价值（楼面单价，元/平方米）</v>
      </c>
      <c r="Q49" s="3172"/>
      <c r="R49" s="3240" t="e">
        <f>IF(F1="售价",ROUND(AVERAGE(R48:V48),0),ROUND(AVERAGE(R48:V48),1))</f>
        <v>#DIV/0!</v>
      </c>
      <c r="S49" s="3240"/>
      <c r="T49" s="3240"/>
      <c r="U49" s="3240"/>
      <c r="V49" s="3240"/>
      <c r="W49" s="324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5" thickBot="1">
      <c r="A57" s="763" t="s">
        <v>2668</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c r="A58" s="505" t="s">
        <v>2542</v>
      </c>
      <c r="B58" s="506"/>
      <c r="C58" s="1573" t="str">
        <f>YEAR(C7)&amp;"-"&amp;MONTH(C7)</f>
        <v>2020-2</v>
      </c>
      <c r="D58" s="1574">
        <f>EDATE(C58,-1)</f>
        <v>43831</v>
      </c>
      <c r="E58" s="1574">
        <f t="shared" ref="E58:N58" si="13">EDATE(D58,-1)</f>
        <v>43800</v>
      </c>
      <c r="F58" s="1574">
        <f t="shared" si="13"/>
        <v>43770</v>
      </c>
      <c r="G58" s="1574">
        <f t="shared" si="13"/>
        <v>43739</v>
      </c>
      <c r="H58" s="1574">
        <f t="shared" si="13"/>
        <v>43709</v>
      </c>
      <c r="I58" s="1574">
        <f t="shared" si="13"/>
        <v>43678</v>
      </c>
      <c r="J58" s="1574">
        <f t="shared" si="13"/>
        <v>43647</v>
      </c>
      <c r="K58" s="1574">
        <f t="shared" si="13"/>
        <v>43617</v>
      </c>
      <c r="L58" s="1574">
        <f t="shared" si="13"/>
        <v>43586</v>
      </c>
      <c r="M58" s="1574">
        <f t="shared" si="13"/>
        <v>43556</v>
      </c>
      <c r="N58" s="1574">
        <f t="shared" si="13"/>
        <v>43525</v>
      </c>
      <c r="O58" s="1574">
        <f>EDATE(N58,-1)</f>
        <v>43497</v>
      </c>
      <c r="P58" s="1569"/>
    </row>
    <row r="59" spans="1:29" s="117" customFormat="1">
      <c r="A59" s="509"/>
      <c r="B59" s="510"/>
      <c r="C59" s="1572">
        <v>100</v>
      </c>
      <c r="D59" s="512"/>
      <c r="E59" s="512"/>
      <c r="F59" s="512"/>
      <c r="G59" s="512"/>
      <c r="H59" s="512"/>
      <c r="I59" s="512"/>
      <c r="J59" s="512"/>
      <c r="K59" s="512"/>
      <c r="L59" s="512"/>
      <c r="M59" s="513"/>
      <c r="N59" s="512"/>
      <c r="O59" s="513"/>
      <c r="P59" s="2628"/>
    </row>
    <row r="60" spans="1:29" s="117" customFormat="1" ht="14.5" thickBot="1">
      <c r="A60" s="515" t="s">
        <v>2579</v>
      </c>
      <c r="B60" s="516"/>
      <c r="C60" s="517"/>
      <c r="D60" s="518"/>
      <c r="E60" s="518"/>
      <c r="F60" s="518"/>
      <c r="G60" s="518"/>
      <c r="H60" s="518"/>
      <c r="I60" s="518"/>
      <c r="J60" s="518"/>
      <c r="K60" s="518"/>
      <c r="L60" s="518"/>
      <c r="M60" s="519"/>
      <c r="N60" s="518"/>
      <c r="O60" s="519"/>
      <c r="P60" s="2628"/>
      <c r="Q60" s="504"/>
    </row>
    <row r="61" spans="1:29" s="117" customFormat="1">
      <c r="A61" s="521" t="s">
        <v>2544</v>
      </c>
      <c r="B61" s="510"/>
      <c r="C61" s="522" t="s">
        <v>2646</v>
      </c>
      <c r="D61" s="523"/>
      <c r="E61" s="523"/>
      <c r="F61" s="523"/>
      <c r="G61" s="523"/>
      <c r="H61" s="523"/>
      <c r="I61" s="523"/>
      <c r="J61" s="523"/>
      <c r="K61" s="523"/>
      <c r="L61" s="524"/>
      <c r="M61" s="525"/>
      <c r="N61" s="1151"/>
      <c r="O61" s="1151"/>
      <c r="P61" s="2629"/>
      <c r="Q61" s="504"/>
    </row>
    <row r="62" spans="1:29" s="117" customFormat="1" ht="14.5" thickBot="1">
      <c r="A62" s="521"/>
      <c r="B62" s="510"/>
      <c r="C62" s="511">
        <v>100</v>
      </c>
      <c r="D62" s="512"/>
      <c r="E62" s="512"/>
      <c r="F62" s="512"/>
      <c r="G62" s="512"/>
      <c r="H62" s="512"/>
      <c r="I62" s="512"/>
      <c r="J62" s="512"/>
      <c r="K62" s="512"/>
      <c r="L62" s="512"/>
      <c r="M62" s="514"/>
      <c r="N62" s="1151"/>
      <c r="O62" s="1151"/>
      <c r="P62" s="2628"/>
      <c r="Q62" s="504"/>
    </row>
    <row r="63" spans="1:29">
      <c r="A63" s="527" t="s">
        <v>2582</v>
      </c>
      <c r="B63" s="528" t="s">
        <v>2548</v>
      </c>
      <c r="C63" s="529">
        <f>C9</f>
        <v>0</v>
      </c>
      <c r="D63" s="530"/>
      <c r="E63" s="530"/>
      <c r="F63" s="530"/>
      <c r="G63" s="530"/>
      <c r="H63" s="530"/>
      <c r="I63" s="530"/>
      <c r="J63" s="530"/>
      <c r="K63" s="531"/>
      <c r="L63" s="532"/>
      <c r="M63" s="533"/>
      <c r="N63" s="1152"/>
      <c r="O63" s="1152"/>
      <c r="P63" s="2630"/>
      <c r="Q63" s="504"/>
    </row>
    <row r="64" spans="1:29" ht="14.5" thickBot="1">
      <c r="A64" s="534"/>
      <c r="B64" s="535"/>
      <c r="C64" s="536">
        <v>100</v>
      </c>
      <c r="D64" s="536"/>
      <c r="E64" s="536"/>
      <c r="F64" s="536"/>
      <c r="G64" s="536"/>
      <c r="H64" s="536"/>
      <c r="I64" s="536"/>
      <c r="J64" s="536"/>
      <c r="K64" s="536"/>
      <c r="L64" s="536"/>
      <c r="M64" s="537"/>
      <c r="N64" s="1153"/>
      <c r="O64" s="1153"/>
      <c r="P64" s="2630"/>
      <c r="Q64" s="504"/>
    </row>
    <row r="65" spans="1:17" ht="28.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30"/>
      <c r="Q65" s="504"/>
    </row>
    <row r="66" spans="1:17" ht="14.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4.5" thickTop="1">
      <c r="A67" s="534"/>
      <c r="B67" s="546" t="s">
        <v>2552</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3"/>
      <c r="O67" s="1153"/>
      <c r="P67" s="2630"/>
      <c r="Q67" s="504"/>
    </row>
    <row r="68" spans="1:17">
      <c r="A68" s="534"/>
      <c r="B68" s="548"/>
      <c r="C68" s="549"/>
      <c r="D68" s="549"/>
      <c r="E68" s="549"/>
      <c r="F68" s="549"/>
      <c r="G68" s="549"/>
      <c r="H68" s="549"/>
      <c r="I68" s="549"/>
      <c r="J68" s="549"/>
      <c r="K68" s="550"/>
      <c r="L68" s="551"/>
      <c r="M68" s="552"/>
      <c r="N68" s="1152"/>
      <c r="O68" s="1152"/>
      <c r="P68" s="2630"/>
      <c r="Q68" s="504"/>
    </row>
    <row r="69" spans="1:17" ht="14.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3"/>
      <c r="O69" s="1153"/>
      <c r="P69" s="2630"/>
      <c r="Q69" s="504"/>
    </row>
    <row r="70" spans="1:17" s="471" customFormat="1" ht="14.5" thickTop="1">
      <c r="A70" s="553"/>
      <c r="B70" s="538">
        <f>B12</f>
        <v>111</v>
      </c>
      <c r="C70" s="554"/>
      <c r="D70" s="554"/>
      <c r="E70" s="554"/>
      <c r="F70" s="554"/>
      <c r="G70" s="554"/>
      <c r="H70" s="555"/>
      <c r="I70" s="555"/>
      <c r="J70" s="555"/>
      <c r="K70" s="555"/>
      <c r="L70" s="556"/>
      <c r="M70" s="557"/>
      <c r="N70" s="1154"/>
      <c r="O70" s="1154"/>
      <c r="P70" s="2631"/>
      <c r="Q70" s="559"/>
    </row>
    <row r="71" spans="1:17" s="471" customFormat="1" ht="14.5" thickBot="1">
      <c r="A71" s="553"/>
      <c r="B71" s="543"/>
      <c r="C71" s="560"/>
      <c r="D71" s="536"/>
      <c r="E71" s="536"/>
      <c r="F71" s="536"/>
      <c r="G71" s="536"/>
      <c r="H71" s="536"/>
      <c r="I71" s="536"/>
      <c r="J71" s="536"/>
      <c r="K71" s="536"/>
      <c r="L71" s="536"/>
      <c r="M71" s="537"/>
      <c r="N71" s="1153"/>
      <c r="O71" s="1153"/>
      <c r="P71" s="2631"/>
      <c r="Q71" s="559"/>
    </row>
    <row r="72" spans="1:17" s="471" customFormat="1" ht="14.5" thickTop="1">
      <c r="A72" s="553"/>
      <c r="B72" s="538">
        <f>B13</f>
        <v>111</v>
      </c>
      <c r="C72" s="554"/>
      <c r="D72" s="554"/>
      <c r="E72" s="554"/>
      <c r="F72" s="554"/>
      <c r="G72" s="554"/>
      <c r="H72" s="555"/>
      <c r="I72" s="555"/>
      <c r="J72" s="555"/>
      <c r="K72" s="555"/>
      <c r="L72" s="556"/>
      <c r="M72" s="557"/>
      <c r="N72" s="1154"/>
      <c r="O72" s="1154"/>
      <c r="P72" s="2632"/>
      <c r="Q72" s="561"/>
    </row>
    <row r="73" spans="1:17" s="471" customFormat="1" ht="14.5" thickBot="1">
      <c r="A73" s="553"/>
      <c r="B73" s="543"/>
      <c r="C73" s="560"/>
      <c r="D73" s="536"/>
      <c r="E73" s="536"/>
      <c r="F73" s="536"/>
      <c r="G73" s="560"/>
      <c r="H73" s="562"/>
      <c r="I73" s="562"/>
      <c r="J73" s="562"/>
      <c r="K73" s="562"/>
      <c r="L73" s="562"/>
      <c r="M73" s="563"/>
      <c r="N73" s="1154"/>
      <c r="O73" s="1154"/>
      <c r="P73" s="2631"/>
      <c r="Q73" s="559"/>
    </row>
    <row r="74" spans="1:17" s="471" customFormat="1" ht="14.5" thickTop="1">
      <c r="A74" s="553"/>
      <c r="B74" s="546">
        <f>B14</f>
        <v>111</v>
      </c>
      <c r="C74" s="554"/>
      <c r="D74" s="554"/>
      <c r="E74" s="554"/>
      <c r="F74" s="554"/>
      <c r="G74" s="523"/>
      <c r="H74" s="564"/>
      <c r="I74" s="564"/>
      <c r="J74" s="564"/>
      <c r="K74" s="564"/>
      <c r="L74" s="565"/>
      <c r="M74" s="566"/>
      <c r="N74" s="1154"/>
      <c r="O74" s="1154"/>
      <c r="P74" s="2633"/>
      <c r="Q74" s="559"/>
    </row>
    <row r="75" spans="1:17" s="471" customFormat="1" ht="14.5" thickBot="1">
      <c r="A75" s="568"/>
      <c r="B75" s="569"/>
      <c r="C75" s="570"/>
      <c r="D75" s="570"/>
      <c r="E75" s="570"/>
      <c r="F75" s="570"/>
      <c r="G75" s="570"/>
      <c r="H75" s="571"/>
      <c r="I75" s="571"/>
      <c r="J75" s="571"/>
      <c r="K75" s="571"/>
      <c r="L75" s="571"/>
      <c r="M75" s="572"/>
      <c r="N75" s="1154"/>
      <c r="O75" s="1154"/>
      <c r="P75" s="2631"/>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4"/>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4.5" thickTop="1">
      <c r="A78" s="534"/>
      <c r="B78" s="538" t="s">
        <v>2596</v>
      </c>
      <c r="C78" s="578" t="s">
        <v>2591</v>
      </c>
      <c r="D78" s="578" t="s">
        <v>2592</v>
      </c>
      <c r="E78" s="578" t="s">
        <v>2593</v>
      </c>
      <c r="F78" s="578" t="s">
        <v>2594</v>
      </c>
      <c r="G78" s="578" t="s">
        <v>2595</v>
      </c>
      <c r="H78" s="539"/>
      <c r="I78" s="539"/>
      <c r="J78" s="539"/>
      <c r="K78" s="540"/>
      <c r="L78" s="541"/>
      <c r="M78" s="542"/>
      <c r="N78" s="1152"/>
      <c r="O78" s="1152"/>
      <c r="P78" s="2630"/>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4.5" thickTop="1">
      <c r="A80" s="534"/>
      <c r="B80" s="538" t="s">
        <v>2597</v>
      </c>
      <c r="C80" s="578" t="s">
        <v>2591</v>
      </c>
      <c r="D80" s="578" t="s">
        <v>2592</v>
      </c>
      <c r="E80" s="578" t="s">
        <v>2593</v>
      </c>
      <c r="F80" s="578" t="s">
        <v>2594</v>
      </c>
      <c r="G80" s="578" t="s">
        <v>2595</v>
      </c>
      <c r="H80" s="539"/>
      <c r="I80" s="539"/>
      <c r="J80" s="539"/>
      <c r="K80" s="540"/>
      <c r="L80" s="541"/>
      <c r="M80" s="542"/>
      <c r="N80" s="1152"/>
      <c r="O80" s="1152"/>
      <c r="P80" s="2630"/>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4.5" thickTop="1">
      <c r="A82" s="534"/>
      <c r="B82" s="546" t="s">
        <v>2649</v>
      </c>
      <c r="C82" s="660" t="s">
        <v>2669</v>
      </c>
      <c r="D82" s="660" t="s">
        <v>2670</v>
      </c>
      <c r="E82" s="660" t="s">
        <v>2671</v>
      </c>
      <c r="F82" s="660" t="s">
        <v>2672</v>
      </c>
      <c r="G82" s="660" t="s">
        <v>2673</v>
      </c>
      <c r="H82" s="539"/>
      <c r="I82" s="539"/>
      <c r="J82" s="539"/>
      <c r="K82" s="539"/>
      <c r="L82" s="539"/>
      <c r="M82" s="1382"/>
      <c r="N82" s="1153"/>
      <c r="O82" s="1153"/>
      <c r="P82" s="2630"/>
      <c r="Q82" s="504"/>
    </row>
    <row r="83" spans="1:17" ht="14.5" thickBot="1">
      <c r="A83" s="534"/>
      <c r="B83" s="546"/>
      <c r="C83" s="544">
        <v>100</v>
      </c>
      <c r="D83" s="544">
        <f>C83-$K21</f>
        <v>100</v>
      </c>
      <c r="E83" s="544">
        <f>D83-$K21</f>
        <v>100</v>
      </c>
      <c r="F83" s="544">
        <f>E83-$K21</f>
        <v>100</v>
      </c>
      <c r="G83" s="544">
        <f>F83-$K21</f>
        <v>100</v>
      </c>
      <c r="H83" s="660"/>
      <c r="I83" s="660"/>
      <c r="J83" s="660"/>
      <c r="K83" s="660"/>
      <c r="L83" s="660"/>
      <c r="M83" s="450"/>
      <c r="N83" s="1153"/>
      <c r="O83" s="1153"/>
      <c r="P83" s="2630"/>
      <c r="Q83" s="504"/>
    </row>
    <row r="84" spans="1:17" ht="14.5" thickTop="1">
      <c r="A84" s="534"/>
      <c r="B84" s="538" t="s">
        <v>2603</v>
      </c>
      <c r="C84" s="578" t="s">
        <v>2591</v>
      </c>
      <c r="D84" s="578" t="s">
        <v>2592</v>
      </c>
      <c r="E84" s="578" t="s">
        <v>2593</v>
      </c>
      <c r="F84" s="578" t="s">
        <v>2594</v>
      </c>
      <c r="G84" s="578" t="s">
        <v>2595</v>
      </c>
      <c r="H84" s="539"/>
      <c r="I84" s="539"/>
      <c r="J84" s="539"/>
      <c r="K84" s="540"/>
      <c r="L84" s="541"/>
      <c r="M84" s="542"/>
      <c r="N84" s="1152"/>
      <c r="O84" s="1152"/>
      <c r="P84" s="2630"/>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4.5" thickTop="1">
      <c r="A86" s="579"/>
      <c r="B86" s="538" t="s">
        <v>2674</v>
      </c>
      <c r="C86" s="554"/>
      <c r="D86" s="554"/>
      <c r="E86" s="554"/>
      <c r="F86" s="554"/>
      <c r="G86" s="554"/>
      <c r="H86" s="554"/>
      <c r="I86" s="554"/>
      <c r="J86" s="554"/>
      <c r="K86" s="554"/>
      <c r="L86" s="580"/>
      <c r="M86" s="581"/>
      <c r="N86" s="1151"/>
      <c r="O86" s="1151"/>
      <c r="P86" s="2630"/>
      <c r="Q86" s="504"/>
    </row>
    <row r="87" spans="1:17" s="117" customFormat="1" ht="14.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2630"/>
      <c r="Q87" s="504"/>
    </row>
    <row r="88" spans="1:17" s="117" customFormat="1" ht="14.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4.5" thickBot="1">
      <c r="A89" s="579"/>
      <c r="B89" s="543"/>
      <c r="C89" s="560"/>
      <c r="D89" s="536"/>
      <c r="E89" s="536"/>
      <c r="F89" s="536"/>
      <c r="G89" s="536"/>
      <c r="H89" s="536"/>
      <c r="I89" s="536"/>
      <c r="J89" s="536"/>
      <c r="K89" s="536"/>
      <c r="L89" s="536"/>
      <c r="M89" s="536"/>
      <c r="N89" s="1153"/>
      <c r="O89" s="1153"/>
      <c r="P89" s="2630"/>
      <c r="Q89" s="504"/>
    </row>
    <row r="90" spans="1:17" s="471" customFormat="1" ht="14.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4.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4"/>
      <c r="O91" s="1154"/>
      <c r="P91" s="2631"/>
      <c r="Q91" s="559"/>
    </row>
    <row r="92" spans="1:17" ht="14.5" thickTop="1">
      <c r="A92" s="534"/>
      <c r="B92" s="538" t="str">
        <f>B28</f>
        <v>楼层</v>
      </c>
      <c r="C92" s="554"/>
      <c r="D92" s="554"/>
      <c r="E92" s="554"/>
      <c r="F92" s="554"/>
      <c r="G92" s="554"/>
      <c r="H92" s="554"/>
      <c r="I92" s="554"/>
      <c r="J92" s="554"/>
      <c r="K92" s="554"/>
      <c r="L92" s="580"/>
      <c r="M92" s="581"/>
      <c r="N92" s="1152"/>
      <c r="O92" s="1152"/>
      <c r="P92" s="2630"/>
      <c r="Q92" s="504"/>
    </row>
    <row r="93" spans="1:17" ht="14.5" thickBot="1">
      <c r="A93" s="534"/>
      <c r="B93" s="543"/>
      <c r="C93" s="536"/>
      <c r="D93" s="536"/>
      <c r="E93" s="536"/>
      <c r="F93" s="536"/>
      <c r="G93" s="536"/>
      <c r="H93" s="536"/>
      <c r="I93" s="536"/>
      <c r="J93" s="536"/>
      <c r="K93" s="536"/>
      <c r="L93" s="536"/>
      <c r="M93" s="537"/>
      <c r="N93" s="1153"/>
      <c r="O93" s="1153"/>
      <c r="P93" s="2630"/>
      <c r="Q93" s="504"/>
    </row>
    <row r="94" spans="1:17" ht="14.5" thickTop="1">
      <c r="A94" s="534"/>
      <c r="B94" s="538">
        <f>B29</f>
        <v>111</v>
      </c>
      <c r="C94" s="554"/>
      <c r="D94" s="554"/>
      <c r="E94" s="554"/>
      <c r="F94" s="554"/>
      <c r="G94" s="583"/>
      <c r="H94" s="583"/>
      <c r="I94" s="583"/>
      <c r="J94" s="583"/>
      <c r="K94" s="584"/>
      <c r="L94" s="585"/>
      <c r="M94" s="586"/>
      <c r="N94" s="1152"/>
      <c r="O94" s="1152"/>
      <c r="P94" s="2630"/>
      <c r="Q94" s="504"/>
    </row>
    <row r="95" spans="1:17" ht="14.5" thickBot="1">
      <c r="A95" s="534"/>
      <c r="B95" s="543"/>
      <c r="C95" s="560"/>
      <c r="D95" s="536"/>
      <c r="E95" s="536"/>
      <c r="F95" s="536"/>
      <c r="G95" s="536"/>
      <c r="H95" s="536"/>
      <c r="I95" s="536"/>
      <c r="J95" s="536"/>
      <c r="K95" s="536"/>
      <c r="L95" s="536"/>
      <c r="M95" s="537"/>
      <c r="N95" s="1153"/>
      <c r="O95" s="1153"/>
      <c r="P95" s="2630"/>
      <c r="Q95" s="504"/>
    </row>
    <row r="96" spans="1:17" ht="14.5" thickTop="1">
      <c r="A96" s="534"/>
      <c r="B96" s="538">
        <f>B30</f>
        <v>111</v>
      </c>
      <c r="C96" s="554"/>
      <c r="D96" s="554"/>
      <c r="E96" s="554"/>
      <c r="F96" s="554"/>
      <c r="G96" s="583"/>
      <c r="H96" s="583"/>
      <c r="I96" s="583"/>
      <c r="J96" s="583"/>
      <c r="K96" s="584"/>
      <c r="L96" s="585"/>
      <c r="M96" s="586"/>
      <c r="N96" s="1152"/>
      <c r="O96" s="1152"/>
      <c r="P96" s="2630"/>
      <c r="Q96" s="504"/>
    </row>
    <row r="97" spans="1:17" ht="14.5" thickBot="1">
      <c r="A97" s="534"/>
      <c r="B97" s="543"/>
      <c r="C97" s="560"/>
      <c r="D97" s="536"/>
      <c r="E97" s="536"/>
      <c r="F97" s="536"/>
      <c r="G97" s="536"/>
      <c r="H97" s="536"/>
      <c r="I97" s="536"/>
      <c r="J97" s="536"/>
      <c r="K97" s="536"/>
      <c r="L97" s="536"/>
      <c r="M97" s="537"/>
      <c r="N97" s="1153"/>
      <c r="O97" s="1153"/>
      <c r="P97" s="2630"/>
      <c r="Q97" s="504"/>
    </row>
    <row r="98" spans="1:17" ht="14.5" thickTop="1">
      <c r="A98" s="534"/>
      <c r="B98" s="546">
        <f>B31</f>
        <v>111</v>
      </c>
      <c r="C98" s="554"/>
      <c r="D98" s="554"/>
      <c r="E98" s="554"/>
      <c r="F98" s="554"/>
      <c r="G98" s="587"/>
      <c r="H98" s="587"/>
      <c r="I98" s="587"/>
      <c r="J98" s="587"/>
      <c r="K98" s="588"/>
      <c r="L98" s="589"/>
      <c r="M98" s="590"/>
      <c r="N98" s="1152"/>
      <c r="O98" s="1152"/>
      <c r="P98" s="2630"/>
      <c r="Q98" s="504"/>
    </row>
    <row r="99" spans="1:17" ht="14.5" thickBot="1">
      <c r="A99" s="2636"/>
      <c r="B99" s="569"/>
      <c r="C99" s="570"/>
      <c r="D99" s="570"/>
      <c r="E99" s="570"/>
      <c r="F99" s="570"/>
      <c r="G99" s="591"/>
      <c r="H99" s="591"/>
      <c r="I99" s="591"/>
      <c r="J99" s="591"/>
      <c r="K99" s="591"/>
      <c r="L99" s="591"/>
      <c r="M99" s="592"/>
      <c r="N99" s="1153"/>
      <c r="O99" s="1153"/>
      <c r="P99" s="2630"/>
      <c r="Q99" s="504"/>
    </row>
    <row r="100" spans="1:17">
      <c r="A100" s="527" t="s">
        <v>2557</v>
      </c>
      <c r="B100" s="528" t="s">
        <v>2675</v>
      </c>
      <c r="C100" s="530"/>
      <c r="D100" s="530"/>
      <c r="E100" s="530"/>
      <c r="F100" s="530"/>
      <c r="G100" s="530"/>
      <c r="H100" s="530"/>
      <c r="I100" s="530"/>
      <c r="J100" s="530"/>
      <c r="K100" s="531"/>
      <c r="L100" s="532"/>
      <c r="M100" s="533"/>
      <c r="N100" s="1152"/>
      <c r="O100" s="1152"/>
      <c r="P100" s="2630"/>
      <c r="Q100" s="504"/>
    </row>
    <row r="101" spans="1:17" ht="14.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3"/>
      <c r="O101" s="1153"/>
      <c r="P101" s="2630"/>
      <c r="Q101" s="504"/>
    </row>
    <row r="102" spans="1:17" ht="14.5" thickTop="1">
      <c r="A102" s="534"/>
      <c r="B102" s="538" t="s">
        <v>2607</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4.5" thickBot="1">
      <c r="A104" s="553"/>
      <c r="B104" s="543"/>
      <c r="C104" s="560"/>
      <c r="D104" s="536"/>
      <c r="E104" s="536"/>
      <c r="F104" s="536"/>
      <c r="G104" s="536"/>
      <c r="H104" s="536"/>
      <c r="I104" s="536"/>
      <c r="J104" s="536"/>
      <c r="K104" s="536"/>
      <c r="L104" s="536"/>
      <c r="M104" s="537"/>
      <c r="N104" s="1153"/>
      <c r="O104" s="1153"/>
      <c r="P104" s="2631"/>
      <c r="Q104" s="559"/>
    </row>
    <row r="105" spans="1:17" ht="14.5" thickTop="1">
      <c r="A105" s="599"/>
      <c r="B105" s="538" t="s">
        <v>2608</v>
      </c>
      <c r="C105" s="554"/>
      <c r="D105" s="554"/>
      <c r="E105" s="583"/>
      <c r="F105" s="583"/>
      <c r="G105" s="583"/>
      <c r="H105" s="583"/>
      <c r="I105" s="583"/>
      <c r="J105" s="583"/>
      <c r="K105" s="584"/>
      <c r="L105" s="585"/>
      <c r="M105" s="586"/>
      <c r="N105" s="1152"/>
      <c r="O105" s="1152"/>
      <c r="P105" s="2630"/>
      <c r="Q105" s="504"/>
    </row>
    <row r="106" spans="1:17" ht="14.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3"/>
      <c r="O106" s="1153"/>
      <c r="P106" s="2630"/>
      <c r="Q106" s="504"/>
    </row>
    <row r="107" spans="1:17" ht="14.5" thickTop="1">
      <c r="A107" s="599"/>
      <c r="B107" s="538" t="s">
        <v>2610</v>
      </c>
      <c r="C107" s="554"/>
      <c r="D107" s="554"/>
      <c r="E107" s="554"/>
      <c r="F107" s="583"/>
      <c r="G107" s="583"/>
      <c r="H107" s="583"/>
      <c r="I107" s="583"/>
      <c r="J107" s="583"/>
      <c r="K107" s="584"/>
      <c r="L107" s="585"/>
      <c r="M107" s="586"/>
      <c r="N107" s="1152"/>
      <c r="O107" s="1152"/>
      <c r="P107" s="2630"/>
      <c r="Q107" s="504"/>
    </row>
    <row r="108" spans="1:17" ht="14.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3"/>
      <c r="O108" s="1153"/>
      <c r="P108" s="2630"/>
      <c r="Q108" s="504"/>
    </row>
    <row r="109" spans="1:17" ht="14.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4.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3"/>
      <c r="O111" s="1153"/>
      <c r="P111" s="2630"/>
      <c r="Q111" s="504"/>
    </row>
    <row r="112" spans="1:17" s="471" customFormat="1" ht="14.5" thickTop="1">
      <c r="A112" s="593"/>
      <c r="B112" s="538" t="s">
        <v>2612</v>
      </c>
      <c r="C112" s="554"/>
      <c r="D112" s="554"/>
      <c r="E112" s="554"/>
      <c r="F112" s="554"/>
      <c r="G112" s="554"/>
      <c r="H112" s="583"/>
      <c r="I112" s="583"/>
      <c r="J112" s="583"/>
      <c r="K112" s="584"/>
      <c r="L112" s="585"/>
      <c r="M112" s="586"/>
      <c r="N112" s="1154"/>
      <c r="O112" s="1154"/>
      <c r="P112" s="2631"/>
      <c r="Q112" s="559"/>
    </row>
    <row r="113" spans="1:17" s="471" customFormat="1" ht="14.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4"/>
      <c r="O113" s="1154"/>
      <c r="P113" s="2631"/>
      <c r="Q113" s="559"/>
    </row>
    <row r="114" spans="1:17" ht="14.5" thickTop="1">
      <c r="A114" s="599"/>
      <c r="B114" s="538" t="s">
        <v>2676</v>
      </c>
      <c r="C114" s="554"/>
      <c r="D114" s="554"/>
      <c r="E114" s="583"/>
      <c r="F114" s="583"/>
      <c r="G114" s="583"/>
      <c r="H114" s="583"/>
      <c r="I114" s="583"/>
      <c r="J114" s="583"/>
      <c r="K114" s="584"/>
      <c r="L114" s="585"/>
      <c r="M114" s="586"/>
      <c r="N114" s="1152"/>
      <c r="O114" s="1152"/>
      <c r="P114" s="2630"/>
      <c r="Q114" s="504"/>
    </row>
    <row r="115" spans="1:17" ht="14.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3"/>
      <c r="O115" s="1153"/>
      <c r="P115" s="2630"/>
      <c r="Q115" s="504"/>
    </row>
    <row r="116" spans="1:17" ht="14.5" thickTop="1">
      <c r="A116" s="599"/>
      <c r="B116" s="538" t="s">
        <v>2677</v>
      </c>
      <c r="C116" s="554"/>
      <c r="D116" s="554"/>
      <c r="E116" s="554"/>
      <c r="F116" s="554"/>
      <c r="G116" s="554"/>
      <c r="H116" s="583"/>
      <c r="I116" s="583"/>
      <c r="J116" s="583"/>
      <c r="K116" s="584"/>
      <c r="L116" s="585"/>
      <c r="M116" s="586"/>
      <c r="N116" s="1152"/>
      <c r="O116" s="1152"/>
      <c r="P116" s="2630"/>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4.5" thickTop="1">
      <c r="A118" s="599"/>
      <c r="B118" s="538" t="s">
        <v>2678</v>
      </c>
      <c r="C118" s="627"/>
      <c r="D118" s="627"/>
      <c r="E118" s="627"/>
      <c r="F118" s="627"/>
      <c r="G118" s="627"/>
      <c r="H118" s="555"/>
      <c r="I118" s="555"/>
      <c r="J118" s="555"/>
      <c r="K118" s="555"/>
      <c r="L118" s="556"/>
      <c r="M118" s="557"/>
      <c r="N118" s="1152"/>
      <c r="O118" s="1152"/>
      <c r="P118" s="2630"/>
      <c r="Q118" s="504"/>
    </row>
    <row r="119" spans="1:17" ht="14.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4.5" thickTop="1">
      <c r="A120" s="593"/>
      <c r="B120" s="538" t="s">
        <v>2679</v>
      </c>
      <c r="C120" s="583"/>
      <c r="D120" s="583"/>
      <c r="E120" s="583"/>
      <c r="F120" s="583"/>
      <c r="G120" s="555"/>
      <c r="H120" s="555"/>
      <c r="I120" s="555"/>
      <c r="J120" s="555"/>
      <c r="K120" s="555"/>
      <c r="L120" s="556"/>
      <c r="M120" s="557"/>
      <c r="N120" s="1154"/>
      <c r="O120" s="1154"/>
      <c r="P120" s="2631"/>
      <c r="Q120" s="559"/>
    </row>
    <row r="121" spans="1:17" s="471" customFormat="1" ht="14.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4"/>
      <c r="O121" s="1154"/>
      <c r="P121" s="2631"/>
      <c r="Q121" s="559"/>
    </row>
    <row r="122" spans="1:17" ht="14.5" thickTop="1">
      <c r="A122" s="599"/>
      <c r="B122" s="538" t="s">
        <v>2614</v>
      </c>
      <c r="C122" s="554"/>
      <c r="D122" s="554"/>
      <c r="E122" s="554"/>
      <c r="F122" s="583"/>
      <c r="G122" s="583"/>
      <c r="H122" s="583"/>
      <c r="I122" s="583"/>
      <c r="J122" s="583"/>
      <c r="K122" s="584"/>
      <c r="L122" s="585"/>
      <c r="M122" s="586"/>
      <c r="N122" s="1152"/>
      <c r="O122" s="1152"/>
      <c r="P122" s="2630"/>
      <c r="Q122" s="504"/>
    </row>
    <row r="123" spans="1:17" ht="14.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3"/>
      <c r="O123" s="1153"/>
      <c r="P123" s="2630"/>
      <c r="Q123" s="504"/>
    </row>
    <row r="124" spans="1:17" ht="28.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1"/>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4.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4.5" thickBot="1">
      <c r="A127" s="553"/>
      <c r="B127" s="543"/>
      <c r="C127" s="560"/>
      <c r="D127" s="536"/>
      <c r="E127" s="536"/>
      <c r="F127" s="536"/>
      <c r="G127" s="560"/>
      <c r="H127" s="562"/>
      <c r="I127" s="562"/>
      <c r="J127" s="562"/>
      <c r="K127" s="562"/>
      <c r="L127" s="562"/>
      <c r="M127" s="563"/>
      <c r="N127" s="1154"/>
      <c r="O127" s="1154"/>
      <c r="P127" s="2631"/>
      <c r="Q127" s="559"/>
    </row>
    <row r="128" spans="1:17" ht="14.5" thickTop="1">
      <c r="A128" s="599"/>
      <c r="B128" s="538">
        <f>B45</f>
        <v>111</v>
      </c>
      <c r="C128" s="554"/>
      <c r="D128" s="554"/>
      <c r="E128" s="554"/>
      <c r="F128" s="554"/>
      <c r="G128" s="583"/>
      <c r="H128" s="583"/>
      <c r="I128" s="583"/>
      <c r="J128" s="583"/>
      <c r="K128" s="584"/>
      <c r="L128" s="585"/>
      <c r="M128" s="586"/>
      <c r="N128" s="1152"/>
      <c r="O128" s="1152"/>
      <c r="P128" s="2630"/>
      <c r="Q128" s="504"/>
    </row>
    <row r="129" spans="1:17" ht="14.5" thickBot="1">
      <c r="A129" s="534"/>
      <c r="B129" s="543"/>
      <c r="C129" s="560"/>
      <c r="D129" s="536"/>
      <c r="E129" s="536"/>
      <c r="F129" s="536"/>
      <c r="G129" s="536"/>
      <c r="H129" s="536"/>
      <c r="I129" s="536"/>
      <c r="J129" s="536"/>
      <c r="K129" s="536"/>
      <c r="L129" s="536"/>
      <c r="M129" s="537"/>
      <c r="N129" s="1153"/>
      <c r="O129" s="1153"/>
      <c r="P129" s="2630"/>
      <c r="Q129" s="504"/>
    </row>
    <row r="130" spans="1:17" ht="14.5" thickTop="1">
      <c r="A130" s="599"/>
      <c r="B130" s="546">
        <f>B46</f>
        <v>111</v>
      </c>
      <c r="C130" s="554"/>
      <c r="D130" s="554"/>
      <c r="E130" s="554"/>
      <c r="F130" s="554"/>
      <c r="G130" s="587"/>
      <c r="H130" s="587"/>
      <c r="I130" s="587"/>
      <c r="J130" s="587"/>
      <c r="K130" s="523"/>
      <c r="L130" s="524"/>
      <c r="M130" s="590"/>
      <c r="N130" s="1152"/>
      <c r="O130" s="1152"/>
      <c r="P130" s="2630"/>
      <c r="Q130" s="504"/>
    </row>
    <row r="131" spans="1:17" ht="14.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zoomScale="90" zoomScaleNormal="90" workbookViewId="0">
      <selection activeCell="G13" sqref="G13"/>
    </sheetView>
  </sheetViews>
  <sheetFormatPr defaultColWidth="9" defaultRowHeight="14"/>
  <cols>
    <col min="1" max="1" width="10.453125" style="403" customWidth="1"/>
    <col min="2" max="2" width="15.81640625" style="403" customWidth="1"/>
    <col min="3" max="3" width="15.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112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8" customFormat="1" ht="28.5" customHeight="1" thickBot="1">
      <c r="A1" s="1617" t="s">
        <v>2522</v>
      </c>
      <c r="B1" s="2669" t="s">
        <v>2680</v>
      </c>
      <c r="C1" s="1619" t="s">
        <v>2524</v>
      </c>
      <c r="D1" s="1620"/>
      <c r="E1" s="1629"/>
      <c r="F1" s="2584"/>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8" t="e">
        <f ca="1">IF(C2="——",ROUND(C50*D3/10000,0),ROUND(C50*D3/10000,0)-D2)</f>
        <v>#DIV/0!</v>
      </c>
      <c r="C2" s="2586"/>
      <c r="D2" s="1365" t="e">
        <f ca="1">SUMIF(INDIRECT("'"&amp;F2&amp;"'"&amp;"!A:A"),"承租人权益价值",INDIRECT("'"&amp;F2&amp;"'"&amp;"!c:c"))</f>
        <v>#REF!</v>
      </c>
      <c r="E2" s="2587" t="s">
        <v>2325</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2638</v>
      </c>
      <c r="D3" s="399">
        <f>IF(D1="",'数据-汇总表'!E3,SUMIF('数据-汇总表'!$C19:$C33,D1,'数据-汇总表'!$E19:$E33))</f>
        <v>127439.59000000001</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c r="A4" s="401" t="s">
        <v>2639</v>
      </c>
      <c r="B4" s="402"/>
      <c r="C4" s="3174" t="s">
        <v>2640</v>
      </c>
      <c r="D4" s="3187"/>
      <c r="E4" s="3188" t="s">
        <v>2641</v>
      </c>
      <c r="F4" s="3189"/>
      <c r="G4" s="3174" t="s">
        <v>2642</v>
      </c>
      <c r="H4" s="3187"/>
      <c r="I4" s="3174" t="s">
        <v>2643</v>
      </c>
      <c r="J4" s="3187"/>
      <c r="K4" s="610" t="s">
        <v>2644</v>
      </c>
      <c r="L4" s="1130"/>
      <c r="M4" s="1131"/>
      <c r="N4" s="1131"/>
      <c r="O4" s="1131"/>
      <c r="P4" s="3254" t="s">
        <v>2645</v>
      </c>
      <c r="Q4" s="3255"/>
      <c r="R4" s="3258" t="s">
        <v>2641</v>
      </c>
      <c r="S4" s="3259"/>
      <c r="T4" s="3258" t="s">
        <v>2642</v>
      </c>
      <c r="U4" s="3259"/>
      <c r="V4" s="3260" t="s">
        <v>2643</v>
      </c>
      <c r="W4" s="3260"/>
      <c r="X4" s="2670"/>
      <c r="Y4" s="3258" t="s">
        <v>2645</v>
      </c>
      <c r="Z4" s="3259"/>
      <c r="AA4" s="3262" t="s">
        <v>2641</v>
      </c>
      <c r="AB4" s="3262" t="s">
        <v>2642</v>
      </c>
      <c r="AC4" s="3251" t="s">
        <v>2643</v>
      </c>
    </row>
    <row r="5" spans="1:29">
      <c r="A5" s="404"/>
      <c r="B5" s="405"/>
      <c r="C5" s="3204" t="s">
        <v>2536</v>
      </c>
      <c r="D5" s="3205"/>
      <c r="E5" s="3211" t="s">
        <v>2537</v>
      </c>
      <c r="F5" s="3212"/>
      <c r="G5" s="3204" t="s">
        <v>2538</v>
      </c>
      <c r="H5" s="3205"/>
      <c r="I5" s="3204" t="s">
        <v>2539</v>
      </c>
      <c r="J5" s="3205"/>
      <c r="K5" s="610"/>
      <c r="L5" s="1130"/>
      <c r="M5" s="1131"/>
      <c r="N5" s="1131"/>
      <c r="O5" s="1131"/>
      <c r="P5" s="3256"/>
      <c r="Q5" s="3193"/>
      <c r="R5" s="3198"/>
      <c r="S5" s="3199"/>
      <c r="T5" s="3198"/>
      <c r="U5" s="3199"/>
      <c r="V5" s="3183"/>
      <c r="W5" s="3183"/>
      <c r="X5" s="1812"/>
      <c r="Y5" s="3198"/>
      <c r="Z5" s="3199"/>
      <c r="AA5" s="3185"/>
      <c r="AB5" s="3185"/>
      <c r="AC5" s="3252"/>
    </row>
    <row r="6" spans="1:29" ht="15" thickBot="1">
      <c r="A6" s="406"/>
      <c r="B6" s="407"/>
      <c r="C6" s="3202" t="s">
        <v>2540</v>
      </c>
      <c r="D6" s="3203"/>
      <c r="E6" s="3209" t="s">
        <v>2540</v>
      </c>
      <c r="F6" s="3210"/>
      <c r="G6" s="3202" t="s">
        <v>2540</v>
      </c>
      <c r="H6" s="3203"/>
      <c r="I6" s="3202" t="s">
        <v>2540</v>
      </c>
      <c r="J6" s="3203"/>
      <c r="K6" s="610" t="s">
        <v>2541</v>
      </c>
      <c r="L6" s="1130"/>
      <c r="M6" s="1131"/>
      <c r="N6" s="1131"/>
      <c r="O6" s="1131"/>
      <c r="P6" s="3257"/>
      <c r="Q6" s="3195"/>
      <c r="R6" s="3198"/>
      <c r="S6" s="3199"/>
      <c r="T6" s="3200"/>
      <c r="U6" s="3201"/>
      <c r="V6" s="3183"/>
      <c r="W6" s="3183"/>
      <c r="X6" s="1812"/>
      <c r="Y6" s="3200"/>
      <c r="Z6" s="3201"/>
      <c r="AA6" s="3186"/>
      <c r="AB6" s="3186"/>
      <c r="AC6" s="3253"/>
    </row>
    <row r="7" spans="1:29" s="117" customFormat="1" ht="14.5" thickBot="1">
      <c r="A7" s="408" t="s">
        <v>2542</v>
      </c>
      <c r="B7" s="409"/>
      <c r="C7" s="410">
        <f>'数据-取费表'!B2</f>
        <v>43879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1" t="s">
        <v>2543</v>
      </c>
      <c r="Q7" s="3208"/>
      <c r="R7" s="770" t="s">
        <v>17</v>
      </c>
      <c r="S7" s="771">
        <f t="shared" ref="S7:S15" si="0">F7</f>
        <v>0</v>
      </c>
      <c r="T7" s="770" t="s">
        <v>17</v>
      </c>
      <c r="U7" s="771">
        <f t="shared" ref="U7:U15" si="1">H7</f>
        <v>0</v>
      </c>
      <c r="V7" s="770" t="s">
        <v>17</v>
      </c>
      <c r="W7" s="771">
        <f t="shared" ref="W7:W15" si="2">J7</f>
        <v>0</v>
      </c>
      <c r="X7" s="772"/>
      <c r="Y7" s="3206" t="s">
        <v>2543</v>
      </c>
      <c r="Z7" s="3207"/>
      <c r="AA7" s="773" t="e">
        <f>D7/F7</f>
        <v>#DIV/0!</v>
      </c>
      <c r="AB7" s="773" t="e">
        <f>D7/H7</f>
        <v>#DIV/0!</v>
      </c>
      <c r="AC7" s="2671" t="e">
        <f>D7/J7</f>
        <v>#DIV/0!</v>
      </c>
    </row>
    <row r="8" spans="1:29" s="117" customFormat="1" ht="14.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1" t="s">
        <v>2546</v>
      </c>
      <c r="Q8" s="3207"/>
      <c r="R8" s="770" t="s">
        <v>17</v>
      </c>
      <c r="S8" s="771">
        <f t="shared" si="0"/>
        <v>0</v>
      </c>
      <c r="T8" s="770" t="s">
        <v>17</v>
      </c>
      <c r="U8" s="771">
        <f t="shared" si="1"/>
        <v>0</v>
      </c>
      <c r="V8" s="770" t="s">
        <v>17</v>
      </c>
      <c r="W8" s="771">
        <f t="shared" si="2"/>
        <v>0</v>
      </c>
      <c r="X8" s="772"/>
      <c r="Y8" s="3206" t="s">
        <v>2546</v>
      </c>
      <c r="Z8" s="3207"/>
      <c r="AA8" s="773" t="e">
        <f t="shared" ref="AA8:AA47" si="3">D8/F8</f>
        <v>#DIV/0!</v>
      </c>
      <c r="AB8" s="773" t="e">
        <f t="shared" ref="AB8:AB47" si="4">D8/H8</f>
        <v>#DIV/0!</v>
      </c>
      <c r="AC8" s="2671"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76" t="s">
        <v>2549</v>
      </c>
      <c r="Q9" s="1794" t="str">
        <f t="shared" ref="Q9:Q15" si="6">B9</f>
        <v>用途</v>
      </c>
      <c r="R9" s="770" t="s">
        <v>17</v>
      </c>
      <c r="S9" s="771">
        <f t="shared" si="0"/>
        <v>100</v>
      </c>
      <c r="T9" s="770" t="s">
        <v>17</v>
      </c>
      <c r="U9" s="771">
        <f t="shared" si="1"/>
        <v>100</v>
      </c>
      <c r="V9" s="770" t="s">
        <v>17</v>
      </c>
      <c r="W9" s="771">
        <f t="shared" si="2"/>
        <v>100</v>
      </c>
      <c r="X9" s="772"/>
      <c r="Y9" s="3024" t="s">
        <v>2550</v>
      </c>
      <c r="Z9" s="55" t="str">
        <f t="shared" ref="Z9:Z15" si="7">Q9</f>
        <v>用途</v>
      </c>
      <c r="AA9" s="773">
        <f t="shared" si="3"/>
        <v>1</v>
      </c>
      <c r="AB9" s="773">
        <f t="shared" si="4"/>
        <v>1</v>
      </c>
      <c r="AC9" s="2671">
        <f t="shared" si="5"/>
        <v>1</v>
      </c>
    </row>
    <row r="10" spans="1:29" s="427" customFormat="1" ht="28">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76"/>
      <c r="Q10" s="1794"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71">
        <f t="shared" si="5"/>
        <v>1</v>
      </c>
    </row>
    <row r="11" spans="1:29" ht="15.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76"/>
      <c r="Q11" s="1794"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2671" t="e">
        <f t="shared" si="5"/>
        <v>#N/A</v>
      </c>
    </row>
    <row r="12" spans="1:29" s="117" customFormat="1" ht="15.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76"/>
      <c r="Q12" s="1794">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71">
        <f>D12/J12</f>
        <v>1</v>
      </c>
    </row>
    <row r="13" spans="1:29" ht="15.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76"/>
      <c r="Q13" s="1794">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71">
        <f t="shared" si="5"/>
        <v>1</v>
      </c>
    </row>
    <row r="14" spans="1:29" ht="16"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76"/>
      <c r="Q14" s="1794">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71">
        <f t="shared" si="5"/>
        <v>1</v>
      </c>
    </row>
    <row r="15" spans="1:29" ht="70">
      <c r="A15" s="440" t="s">
        <v>2553</v>
      </c>
      <c r="B15" s="629" t="s">
        <v>2681</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6" t="s">
        <v>2554</v>
      </c>
      <c r="Q15" s="1809" t="str">
        <f t="shared" si="6"/>
        <v>办公集聚程度</v>
      </c>
      <c r="R15" s="774" t="s">
        <v>17</v>
      </c>
      <c r="S15" s="775">
        <f t="shared" si="0"/>
        <v>100</v>
      </c>
      <c r="T15" s="774" t="s">
        <v>17</v>
      </c>
      <c r="U15" s="775">
        <f t="shared" si="1"/>
        <v>100</v>
      </c>
      <c r="V15" s="774" t="s">
        <v>17</v>
      </c>
      <c r="W15" s="775">
        <f t="shared" si="2"/>
        <v>100</v>
      </c>
      <c r="X15" s="1812"/>
      <c r="Y15" s="3179" t="s">
        <v>2554</v>
      </c>
      <c r="Z15" s="1813" t="str">
        <f t="shared" si="7"/>
        <v>办公集聚程度</v>
      </c>
      <c r="AA15" s="1810">
        <f t="shared" si="3"/>
        <v>1</v>
      </c>
      <c r="AB15" s="1810">
        <f t="shared" si="4"/>
        <v>1</v>
      </c>
      <c r="AC15" s="2674">
        <f t="shared" si="5"/>
        <v>1</v>
      </c>
    </row>
    <row r="16" spans="1:29" ht="15.5">
      <c r="A16" s="428"/>
      <c r="B16" s="630"/>
      <c r="C16" s="2611"/>
      <c r="D16" s="448"/>
      <c r="E16" s="447"/>
      <c r="F16" s="448"/>
      <c r="G16" s="2611"/>
      <c r="H16" s="450"/>
      <c r="I16" s="447"/>
      <c r="J16" s="448"/>
      <c r="K16" s="615"/>
      <c r="L16" s="1140"/>
      <c r="M16" s="1131"/>
      <c r="N16" s="1131"/>
      <c r="O16" s="1131"/>
      <c r="P16" s="3247"/>
      <c r="Q16" s="1809"/>
      <c r="R16" s="774"/>
      <c r="S16" s="775"/>
      <c r="T16" s="774"/>
      <c r="U16" s="775"/>
      <c r="V16" s="774"/>
      <c r="W16" s="775"/>
      <c r="X16" s="1812"/>
      <c r="Y16" s="3180"/>
      <c r="Z16" s="1813"/>
      <c r="AA16" s="1810">
        <v>1</v>
      </c>
      <c r="AB16" s="1810">
        <v>1</v>
      </c>
      <c r="AC16" s="2674">
        <v>1</v>
      </c>
    </row>
    <row r="17" spans="1:29" ht="84">
      <c r="A17" s="428"/>
      <c r="B17" s="631" t="s">
        <v>2094</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7"/>
      <c r="Q17" s="1809" t="str">
        <f>B17</f>
        <v>交通便捷度</v>
      </c>
      <c r="R17" s="774" t="s">
        <v>17</v>
      </c>
      <c r="S17" s="775">
        <f>F17</f>
        <v>100</v>
      </c>
      <c r="T17" s="774" t="s">
        <v>17</v>
      </c>
      <c r="U17" s="775">
        <f>H17</f>
        <v>100</v>
      </c>
      <c r="V17" s="774" t="s">
        <v>17</v>
      </c>
      <c r="W17" s="775">
        <f>J17</f>
        <v>100</v>
      </c>
      <c r="X17" s="1812"/>
      <c r="Y17" s="3180"/>
      <c r="Z17" s="1813" t="str">
        <f>Q17</f>
        <v>交通便捷度</v>
      </c>
      <c r="AA17" s="1810">
        <f t="shared" si="3"/>
        <v>1</v>
      </c>
      <c r="AB17" s="1810">
        <f t="shared" si="4"/>
        <v>1</v>
      </c>
      <c r="AC17" s="2674">
        <f t="shared" si="5"/>
        <v>1</v>
      </c>
    </row>
    <row r="18" spans="1:29" ht="15.5">
      <c r="A18" s="428"/>
      <c r="B18" s="632"/>
      <c r="C18" s="2676"/>
      <c r="D18" s="450"/>
      <c r="E18" s="2609"/>
      <c r="F18" s="450"/>
      <c r="G18" s="2610"/>
      <c r="H18" s="448"/>
      <c r="I18" s="2610"/>
      <c r="J18" s="448"/>
      <c r="K18" s="615"/>
      <c r="L18" s="1140"/>
      <c r="M18" s="1131"/>
      <c r="N18" s="1131"/>
      <c r="O18" s="1131"/>
      <c r="P18" s="3247"/>
      <c r="Q18" s="1809"/>
      <c r="R18" s="774"/>
      <c r="S18" s="775"/>
      <c r="T18" s="774"/>
      <c r="U18" s="775"/>
      <c r="V18" s="774"/>
      <c r="W18" s="775"/>
      <c r="X18" s="1812"/>
      <c r="Y18" s="3180"/>
      <c r="Z18" s="1813"/>
      <c r="AA18" s="1810">
        <v>1</v>
      </c>
      <c r="AB18" s="1810">
        <v>1</v>
      </c>
      <c r="AC18" s="2674">
        <v>1</v>
      </c>
    </row>
    <row r="19" spans="1:29" ht="42">
      <c r="A19" s="428"/>
      <c r="B19" s="631" t="s">
        <v>2682</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7"/>
      <c r="Q19" s="1809" t="str">
        <f>B19</f>
        <v>公共配套设施</v>
      </c>
      <c r="R19" s="774" t="s">
        <v>17</v>
      </c>
      <c r="S19" s="775">
        <f>F19</f>
        <v>100</v>
      </c>
      <c r="T19" s="774" t="s">
        <v>17</v>
      </c>
      <c r="U19" s="775">
        <f>H19</f>
        <v>100</v>
      </c>
      <c r="V19" s="774" t="s">
        <v>17</v>
      </c>
      <c r="W19" s="775">
        <f>J19</f>
        <v>100</v>
      </c>
      <c r="X19" s="1812"/>
      <c r="Y19" s="3180"/>
      <c r="Z19" s="1813" t="str">
        <f>Q19</f>
        <v>公共配套设施</v>
      </c>
      <c r="AA19" s="1810">
        <f t="shared" si="3"/>
        <v>1</v>
      </c>
      <c r="AB19" s="1810">
        <f t="shared" si="4"/>
        <v>1</v>
      </c>
      <c r="AC19" s="2674">
        <f t="shared" si="5"/>
        <v>1</v>
      </c>
    </row>
    <row r="20" spans="1:29" ht="15.5">
      <c r="A20" s="428"/>
      <c r="B20" s="632"/>
      <c r="C20" s="2611"/>
      <c r="D20" s="448"/>
      <c r="E20" s="2604"/>
      <c r="F20" s="448"/>
      <c r="G20" s="2605"/>
      <c r="H20" s="448"/>
      <c r="I20" s="2605"/>
      <c r="J20" s="448"/>
      <c r="K20" s="615"/>
      <c r="L20" s="1140"/>
      <c r="M20" s="1131"/>
      <c r="N20" s="1131"/>
      <c r="O20" s="1131"/>
      <c r="P20" s="3247"/>
      <c r="Q20" s="1809"/>
      <c r="R20" s="774"/>
      <c r="S20" s="775"/>
      <c r="T20" s="774"/>
      <c r="U20" s="775"/>
      <c r="V20" s="774"/>
      <c r="W20" s="775"/>
      <c r="X20" s="1812"/>
      <c r="Y20" s="3180"/>
      <c r="Z20" s="1813"/>
      <c r="AA20" s="1810">
        <v>1</v>
      </c>
      <c r="AB20" s="1810">
        <v>1</v>
      </c>
      <c r="AC20" s="2674">
        <v>1</v>
      </c>
    </row>
    <row r="21" spans="1:29" ht="28">
      <c r="A21" s="428"/>
      <c r="B21" s="633" t="s">
        <v>2683</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7"/>
      <c r="Q21" s="1809" t="str">
        <f>B21</f>
        <v>基础设施水平</v>
      </c>
      <c r="R21" s="774" t="s">
        <v>17</v>
      </c>
      <c r="S21" s="775">
        <f>F21</f>
        <v>100</v>
      </c>
      <c r="T21" s="774" t="s">
        <v>17</v>
      </c>
      <c r="U21" s="775">
        <f>H21</f>
        <v>100</v>
      </c>
      <c r="V21" s="774" t="s">
        <v>17</v>
      </c>
      <c r="W21" s="775">
        <f>J21</f>
        <v>100</v>
      </c>
      <c r="X21" s="1812"/>
      <c r="Y21" s="3180"/>
      <c r="Z21" s="1813" t="str">
        <f>Q21</f>
        <v>基础设施水平</v>
      </c>
      <c r="AA21" s="1810">
        <f>D21/F21</f>
        <v>1</v>
      </c>
      <c r="AB21" s="1810">
        <f>D21/H21</f>
        <v>1</v>
      </c>
      <c r="AC21" s="2674">
        <f>D21/J21</f>
        <v>1</v>
      </c>
    </row>
    <row r="22" spans="1:29" ht="15.5">
      <c r="A22" s="428"/>
      <c r="B22" s="633"/>
      <c r="C22" s="2676"/>
      <c r="D22" s="448"/>
      <c r="E22" s="447"/>
      <c r="F22" s="448"/>
      <c r="G22" s="2611"/>
      <c r="H22" s="448"/>
      <c r="I22" s="2611"/>
      <c r="J22" s="448"/>
      <c r="K22" s="1383"/>
      <c r="L22" s="1140"/>
      <c r="M22" s="1131"/>
      <c r="N22" s="1131"/>
      <c r="O22" s="1131"/>
      <c r="P22" s="3247"/>
      <c r="Q22" s="1809"/>
      <c r="R22" s="774"/>
      <c r="S22" s="775"/>
      <c r="T22" s="774"/>
      <c r="U22" s="775"/>
      <c r="V22" s="774"/>
      <c r="W22" s="775"/>
      <c r="X22" s="1812"/>
      <c r="Y22" s="3180"/>
      <c r="Z22" s="1813"/>
      <c r="AA22" s="1810">
        <v>1</v>
      </c>
      <c r="AB22" s="1810">
        <v>1</v>
      </c>
      <c r="AC22" s="2674">
        <v>1</v>
      </c>
    </row>
    <row r="23" spans="1:29" ht="56">
      <c r="A23" s="428"/>
      <c r="B23" s="631" t="s">
        <v>2684</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7"/>
      <c r="Q23" s="1809" t="str">
        <f>B23</f>
        <v>环境质量</v>
      </c>
      <c r="R23" s="774" t="s">
        <v>17</v>
      </c>
      <c r="S23" s="775">
        <f>F23</f>
        <v>100</v>
      </c>
      <c r="T23" s="774" t="s">
        <v>17</v>
      </c>
      <c r="U23" s="775">
        <f>H23</f>
        <v>100</v>
      </c>
      <c r="V23" s="774" t="s">
        <v>17</v>
      </c>
      <c r="W23" s="775">
        <f>J23</f>
        <v>100</v>
      </c>
      <c r="X23" s="1812"/>
      <c r="Y23" s="3180"/>
      <c r="Z23" s="1813" t="str">
        <f>Q23</f>
        <v>环境质量</v>
      </c>
      <c r="AA23" s="1810">
        <f t="shared" si="3"/>
        <v>1</v>
      </c>
      <c r="AB23" s="1810">
        <f t="shared" si="4"/>
        <v>1</v>
      </c>
      <c r="AC23" s="2674">
        <f t="shared" si="5"/>
        <v>1</v>
      </c>
    </row>
    <row r="24" spans="1:29" ht="15.5">
      <c r="A24" s="428"/>
      <c r="B24" s="633"/>
      <c r="C24" s="2611"/>
      <c r="D24" s="448"/>
      <c r="E24" s="2604"/>
      <c r="F24" s="448"/>
      <c r="G24" s="2605"/>
      <c r="H24" s="448"/>
      <c r="I24" s="2605"/>
      <c r="J24" s="448"/>
      <c r="K24" s="615"/>
      <c r="L24" s="1140"/>
      <c r="M24" s="1131"/>
      <c r="N24" s="1131"/>
      <c r="O24" s="1131"/>
      <c r="P24" s="3247"/>
      <c r="Q24" s="1809"/>
      <c r="R24" s="774"/>
      <c r="S24" s="775"/>
      <c r="T24" s="774"/>
      <c r="U24" s="775"/>
      <c r="V24" s="774"/>
      <c r="W24" s="775"/>
      <c r="X24" s="1812"/>
      <c r="Y24" s="3180"/>
      <c r="Z24" s="1813"/>
      <c r="AA24" s="1810">
        <v>1</v>
      </c>
      <c r="AB24" s="1810">
        <v>1</v>
      </c>
      <c r="AC24" s="2674">
        <v>1</v>
      </c>
    </row>
    <row r="25" spans="1:29" ht="28">
      <c r="A25" s="404"/>
      <c r="B25" s="631" t="s">
        <v>2685</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47"/>
      <c r="Q25" s="1809" t="str">
        <f>B25</f>
        <v>毗邻道路的类型与等级</v>
      </c>
      <c r="R25" s="774" t="s">
        <v>17</v>
      </c>
      <c r="S25" s="775">
        <f>F25</f>
        <v>100</v>
      </c>
      <c r="T25" s="774" t="s">
        <v>17</v>
      </c>
      <c r="U25" s="775">
        <f>H25</f>
        <v>100</v>
      </c>
      <c r="V25" s="774" t="s">
        <v>17</v>
      </c>
      <c r="W25" s="775">
        <f>J25</f>
        <v>100</v>
      </c>
      <c r="X25" s="1812"/>
      <c r="Y25" s="3180"/>
      <c r="Z25" s="1813" t="str">
        <f>Q25</f>
        <v>毗邻道路的类型与等级</v>
      </c>
      <c r="AA25" s="1810">
        <f t="shared" si="3"/>
        <v>1</v>
      </c>
      <c r="AB25" s="1810">
        <f t="shared" si="4"/>
        <v>1</v>
      </c>
      <c r="AC25" s="2674">
        <f t="shared" si="5"/>
        <v>1</v>
      </c>
    </row>
    <row r="26" spans="1:29" ht="15.5">
      <c r="A26" s="404"/>
      <c r="B26" s="632"/>
      <c r="C26" s="634"/>
      <c r="D26" s="435"/>
      <c r="E26" s="616"/>
      <c r="F26" s="435"/>
      <c r="G26" s="634"/>
      <c r="H26" s="435"/>
      <c r="I26" s="616"/>
      <c r="J26" s="435"/>
      <c r="K26" s="615"/>
      <c r="L26" s="1140"/>
      <c r="M26" s="1131"/>
      <c r="N26" s="1131"/>
      <c r="O26" s="1131"/>
      <c r="P26" s="3247"/>
      <c r="Q26" s="1809"/>
      <c r="R26" s="774"/>
      <c r="S26" s="775"/>
      <c r="T26" s="774"/>
      <c r="U26" s="775"/>
      <c r="V26" s="774"/>
      <c r="W26" s="775"/>
      <c r="X26" s="1812"/>
      <c r="Y26" s="3180"/>
      <c r="Z26" s="1813"/>
      <c r="AA26" s="1810">
        <v>1</v>
      </c>
      <c r="AB26" s="1810">
        <v>1</v>
      </c>
      <c r="AC26" s="2674">
        <v>1</v>
      </c>
    </row>
    <row r="27" spans="1:29" ht="15.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7"/>
      <c r="Q27" s="1809" t="str">
        <f t="shared" ref="Q27:Q47" si="8">B27</f>
        <v>楼层</v>
      </c>
      <c r="R27" s="774" t="s">
        <v>17</v>
      </c>
      <c r="S27" s="775">
        <f>F27</f>
        <v>100</v>
      </c>
      <c r="T27" s="774" t="s">
        <v>17</v>
      </c>
      <c r="U27" s="775">
        <f>H27</f>
        <v>100</v>
      </c>
      <c r="V27" s="774" t="s">
        <v>17</v>
      </c>
      <c r="W27" s="775">
        <f>J27</f>
        <v>100</v>
      </c>
      <c r="X27" s="1812"/>
      <c r="Y27" s="3180"/>
      <c r="Z27" s="1813" t="str">
        <f>Q27</f>
        <v>楼层</v>
      </c>
      <c r="AA27" s="1810">
        <f t="shared" si="3"/>
        <v>1</v>
      </c>
      <c r="AB27" s="1810">
        <f t="shared" si="4"/>
        <v>1</v>
      </c>
      <c r="AC27" s="2674">
        <f t="shared" si="5"/>
        <v>1</v>
      </c>
    </row>
    <row r="28" spans="1:29" s="117" customFormat="1" ht="15.5">
      <c r="A28" s="431"/>
      <c r="B28" s="631" t="s">
        <v>2686</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47"/>
      <c r="Q28" s="1794" t="str">
        <f t="shared" si="8"/>
        <v>朝向</v>
      </c>
      <c r="R28" s="770" t="s">
        <v>17</v>
      </c>
      <c r="S28" s="771">
        <f>F28</f>
        <v>100</v>
      </c>
      <c r="T28" s="770" t="s">
        <v>17</v>
      </c>
      <c r="U28" s="771">
        <f>H28</f>
        <v>100</v>
      </c>
      <c r="V28" s="770" t="s">
        <v>17</v>
      </c>
      <c r="W28" s="771">
        <f>J28</f>
        <v>100</v>
      </c>
      <c r="X28" s="772"/>
      <c r="Y28" s="3180"/>
      <c r="Z28" s="55" t="str">
        <f>Q28</f>
        <v>朝向</v>
      </c>
      <c r="AA28" s="1810">
        <f>D28/F28</f>
        <v>1</v>
      </c>
      <c r="AB28" s="1810">
        <f>D28/H28</f>
        <v>1</v>
      </c>
      <c r="AC28" s="2674">
        <f>D28/J28</f>
        <v>1</v>
      </c>
    </row>
    <row r="29" spans="1:29" ht="15.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47"/>
      <c r="Q29" s="1809">
        <f t="shared" si="8"/>
        <v>111</v>
      </c>
      <c r="R29" s="774" t="s">
        <v>17</v>
      </c>
      <c r="S29" s="775">
        <f t="shared" ref="S29:S47" si="9">F29</f>
        <v>100</v>
      </c>
      <c r="T29" s="774" t="s">
        <v>17</v>
      </c>
      <c r="U29" s="775">
        <f t="shared" ref="U29:U47" si="10">H29</f>
        <v>100</v>
      </c>
      <c r="V29" s="774" t="s">
        <v>17</v>
      </c>
      <c r="W29" s="775">
        <f t="shared" ref="W29:W47" si="11">J29</f>
        <v>100</v>
      </c>
      <c r="X29" s="1812"/>
      <c r="Y29" s="3180"/>
      <c r="Z29" s="1813">
        <f t="shared" ref="Z29:Z47" si="12">Q29</f>
        <v>111</v>
      </c>
      <c r="AA29" s="1810">
        <f t="shared" si="3"/>
        <v>1</v>
      </c>
      <c r="AB29" s="1810">
        <f t="shared" si="4"/>
        <v>1</v>
      </c>
      <c r="AC29" s="2674">
        <f t="shared" si="5"/>
        <v>1</v>
      </c>
    </row>
    <row r="30" spans="1:29" ht="15.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47"/>
      <c r="Q30" s="1809">
        <f t="shared" si="8"/>
        <v>111</v>
      </c>
      <c r="R30" s="774" t="s">
        <v>17</v>
      </c>
      <c r="S30" s="775">
        <f t="shared" si="9"/>
        <v>100</v>
      </c>
      <c r="T30" s="774" t="s">
        <v>17</v>
      </c>
      <c r="U30" s="775">
        <f t="shared" si="10"/>
        <v>100</v>
      </c>
      <c r="V30" s="774" t="s">
        <v>17</v>
      </c>
      <c r="W30" s="775">
        <f t="shared" si="11"/>
        <v>100</v>
      </c>
      <c r="X30" s="1812"/>
      <c r="Y30" s="3180"/>
      <c r="Z30" s="1813">
        <f t="shared" si="12"/>
        <v>111</v>
      </c>
      <c r="AA30" s="1810">
        <f t="shared" si="3"/>
        <v>1</v>
      </c>
      <c r="AB30" s="1810">
        <f t="shared" si="4"/>
        <v>1</v>
      </c>
      <c r="AC30" s="2674">
        <f t="shared" si="5"/>
        <v>1</v>
      </c>
    </row>
    <row r="31" spans="1:29" ht="15.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47"/>
      <c r="Q31" s="1809">
        <f t="shared" si="8"/>
        <v>111</v>
      </c>
      <c r="R31" s="774" t="s">
        <v>17</v>
      </c>
      <c r="S31" s="775">
        <f t="shared" si="9"/>
        <v>100</v>
      </c>
      <c r="T31" s="774" t="s">
        <v>17</v>
      </c>
      <c r="U31" s="775">
        <f t="shared" si="10"/>
        <v>100</v>
      </c>
      <c r="V31" s="774" t="s">
        <v>17</v>
      </c>
      <c r="W31" s="775">
        <f t="shared" si="11"/>
        <v>100</v>
      </c>
      <c r="X31" s="1812"/>
      <c r="Y31" s="3180"/>
      <c r="Z31" s="1813">
        <f t="shared" si="12"/>
        <v>111</v>
      </c>
      <c r="AA31" s="1810">
        <f t="shared" si="3"/>
        <v>1</v>
      </c>
      <c r="AB31" s="1810">
        <f t="shared" si="4"/>
        <v>1</v>
      </c>
      <c r="AC31" s="2674">
        <f t="shared" si="5"/>
        <v>1</v>
      </c>
    </row>
    <row r="32" spans="1:29" ht="16"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47"/>
      <c r="Q32" s="1809">
        <f t="shared" si="8"/>
        <v>111</v>
      </c>
      <c r="R32" s="774" t="s">
        <v>17</v>
      </c>
      <c r="S32" s="775">
        <f t="shared" si="9"/>
        <v>100</v>
      </c>
      <c r="T32" s="774" t="s">
        <v>17</v>
      </c>
      <c r="U32" s="775">
        <f t="shared" si="10"/>
        <v>100</v>
      </c>
      <c r="V32" s="774" t="s">
        <v>17</v>
      </c>
      <c r="W32" s="775">
        <f t="shared" si="11"/>
        <v>100</v>
      </c>
      <c r="X32" s="1812"/>
      <c r="Y32" s="3180"/>
      <c r="Z32" s="1813">
        <f t="shared" si="12"/>
        <v>111</v>
      </c>
      <c r="AA32" s="1810">
        <f t="shared" si="3"/>
        <v>1</v>
      </c>
      <c r="AB32" s="1810">
        <f t="shared" si="4"/>
        <v>1</v>
      </c>
      <c r="AC32" s="2674">
        <f t="shared" si="5"/>
        <v>1</v>
      </c>
    </row>
    <row r="33" spans="1:29" ht="15.5">
      <c r="A33" s="440" t="s">
        <v>2557</v>
      </c>
      <c r="B33" s="71" t="s">
        <v>2687</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42" t="s">
        <v>2559</v>
      </c>
      <c r="Q33" s="1809" t="str">
        <f t="shared" si="8"/>
        <v>建筑类型</v>
      </c>
      <c r="R33" s="774" t="s">
        <v>17</v>
      </c>
      <c r="S33" s="775">
        <f t="shared" si="9"/>
        <v>100</v>
      </c>
      <c r="T33" s="774" t="s">
        <v>17</v>
      </c>
      <c r="U33" s="775">
        <f t="shared" si="10"/>
        <v>100</v>
      </c>
      <c r="V33" s="774" t="s">
        <v>17</v>
      </c>
      <c r="W33" s="775">
        <f t="shared" si="11"/>
        <v>100</v>
      </c>
      <c r="X33" s="1812"/>
      <c r="Y33" s="3182" t="s">
        <v>2559</v>
      </c>
      <c r="Z33" s="1813" t="str">
        <f t="shared" si="12"/>
        <v>建筑类型</v>
      </c>
      <c r="AA33" s="1810">
        <f t="shared" si="3"/>
        <v>1</v>
      </c>
      <c r="AB33" s="1810">
        <f t="shared" si="4"/>
        <v>1</v>
      </c>
      <c r="AC33" s="2674">
        <f t="shared" si="5"/>
        <v>1</v>
      </c>
    </row>
    <row r="34" spans="1:29" s="471" customFormat="1" ht="15.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3"/>
      <c r="Q34" s="776" t="str">
        <f t="shared" si="8"/>
        <v>项目建筑规模</v>
      </c>
      <c r="R34" s="777" t="s">
        <v>17</v>
      </c>
      <c r="S34" s="778" t="e">
        <f t="shared" si="9"/>
        <v>#N/A</v>
      </c>
      <c r="T34" s="777" t="s">
        <v>17</v>
      </c>
      <c r="U34" s="778" t="e">
        <f t="shared" si="10"/>
        <v>#N/A</v>
      </c>
      <c r="V34" s="777" t="s">
        <v>17</v>
      </c>
      <c r="W34" s="778" t="e">
        <f t="shared" si="11"/>
        <v>#N/A</v>
      </c>
      <c r="X34" s="779"/>
      <c r="Y34" s="3182"/>
      <c r="Z34" s="780" t="str">
        <f t="shared" si="12"/>
        <v>项目建筑规模</v>
      </c>
      <c r="AA34" s="1810" t="e">
        <f t="shared" si="3"/>
        <v>#N/A</v>
      </c>
      <c r="AB34" s="1810" t="e">
        <f t="shared" si="4"/>
        <v>#N/A</v>
      </c>
      <c r="AC34" s="2674" t="e">
        <f t="shared" si="5"/>
        <v>#N/A</v>
      </c>
    </row>
    <row r="35" spans="1:29" ht="15.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3"/>
      <c r="Q35" s="1809" t="str">
        <f t="shared" si="8"/>
        <v>建筑结构</v>
      </c>
      <c r="R35" s="774" t="s">
        <v>17</v>
      </c>
      <c r="S35" s="775">
        <f t="shared" si="9"/>
        <v>100</v>
      </c>
      <c r="T35" s="774" t="s">
        <v>17</v>
      </c>
      <c r="U35" s="775">
        <f t="shared" si="10"/>
        <v>100</v>
      </c>
      <c r="V35" s="774" t="s">
        <v>17</v>
      </c>
      <c r="W35" s="775">
        <f t="shared" si="11"/>
        <v>100</v>
      </c>
      <c r="X35" s="1812"/>
      <c r="Y35" s="3182"/>
      <c r="Z35" s="1813" t="str">
        <f t="shared" si="12"/>
        <v>建筑结构</v>
      </c>
      <c r="AA35" s="1810">
        <f t="shared" si="3"/>
        <v>1</v>
      </c>
      <c r="AB35" s="1810">
        <f t="shared" si="4"/>
        <v>1</v>
      </c>
      <c r="AC35" s="2674">
        <f t="shared" si="5"/>
        <v>1</v>
      </c>
    </row>
    <row r="36" spans="1:29" ht="15.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3"/>
      <c r="Q36" s="1809" t="str">
        <f t="shared" si="8"/>
        <v>公共部分装修</v>
      </c>
      <c r="R36" s="774" t="s">
        <v>17</v>
      </c>
      <c r="S36" s="775">
        <f t="shared" si="9"/>
        <v>100</v>
      </c>
      <c r="T36" s="774" t="s">
        <v>17</v>
      </c>
      <c r="U36" s="775">
        <f t="shared" si="10"/>
        <v>100</v>
      </c>
      <c r="V36" s="774" t="s">
        <v>17</v>
      </c>
      <c r="W36" s="775">
        <f t="shared" si="11"/>
        <v>100</v>
      </c>
      <c r="X36" s="1812"/>
      <c r="Y36" s="3182"/>
      <c r="Z36" s="1813" t="str">
        <f t="shared" si="12"/>
        <v>公共部分装修</v>
      </c>
      <c r="AA36" s="1810">
        <f t="shared" si="3"/>
        <v>1</v>
      </c>
      <c r="AB36" s="1810">
        <f t="shared" si="4"/>
        <v>1</v>
      </c>
      <c r="AC36" s="2674">
        <f t="shared" si="5"/>
        <v>1</v>
      </c>
    </row>
    <row r="37" spans="1:29" ht="15.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3"/>
      <c r="Q37" s="1809" t="str">
        <f t="shared" si="8"/>
        <v>成新度</v>
      </c>
      <c r="R37" s="774" t="s">
        <v>17</v>
      </c>
      <c r="S37" s="775" t="e">
        <f t="shared" si="9"/>
        <v>#N/A</v>
      </c>
      <c r="T37" s="774" t="s">
        <v>17</v>
      </c>
      <c r="U37" s="775" t="e">
        <f t="shared" si="10"/>
        <v>#N/A</v>
      </c>
      <c r="V37" s="774" t="s">
        <v>17</v>
      </c>
      <c r="W37" s="775" t="e">
        <f t="shared" si="11"/>
        <v>#N/A</v>
      </c>
      <c r="X37" s="1812"/>
      <c r="Y37" s="3182"/>
      <c r="Z37" s="1813" t="str">
        <f t="shared" si="12"/>
        <v>成新度</v>
      </c>
      <c r="AA37" s="1810" t="e">
        <f t="shared" si="3"/>
        <v>#N/A</v>
      </c>
      <c r="AB37" s="1810" t="e">
        <f t="shared" si="4"/>
        <v>#N/A</v>
      </c>
      <c r="AC37" s="2674" t="e">
        <f t="shared" si="5"/>
        <v>#N/A</v>
      </c>
    </row>
    <row r="38" spans="1:29" s="117" customFormat="1" ht="15.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3"/>
      <c r="Q38" s="1794" t="str">
        <f t="shared" si="8"/>
        <v>写字楼等级</v>
      </c>
      <c r="R38" s="770" t="s">
        <v>17</v>
      </c>
      <c r="S38" s="771">
        <f t="shared" si="9"/>
        <v>100</v>
      </c>
      <c r="T38" s="770" t="s">
        <v>17</v>
      </c>
      <c r="U38" s="771">
        <f t="shared" si="10"/>
        <v>100</v>
      </c>
      <c r="V38" s="770" t="s">
        <v>17</v>
      </c>
      <c r="W38" s="771">
        <f t="shared" si="11"/>
        <v>100</v>
      </c>
      <c r="X38" s="772"/>
      <c r="Y38" s="3182"/>
      <c r="Z38" s="55" t="str">
        <f t="shared" si="12"/>
        <v>写字楼等级</v>
      </c>
      <c r="AA38" s="773">
        <f t="shared" si="3"/>
        <v>1</v>
      </c>
      <c r="AB38" s="773">
        <f t="shared" si="4"/>
        <v>1</v>
      </c>
      <c r="AC38" s="2671">
        <f t="shared" si="5"/>
        <v>1</v>
      </c>
    </row>
    <row r="39" spans="1:29" ht="15.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3" t="s">
        <v>2559</v>
      </c>
      <c r="Q39" s="1809" t="str">
        <f t="shared" si="8"/>
        <v>物业管理</v>
      </c>
      <c r="R39" s="774" t="s">
        <v>17</v>
      </c>
      <c r="S39" s="775">
        <f t="shared" si="9"/>
        <v>100</v>
      </c>
      <c r="T39" s="774" t="s">
        <v>17</v>
      </c>
      <c r="U39" s="775">
        <f t="shared" si="10"/>
        <v>100</v>
      </c>
      <c r="V39" s="774" t="s">
        <v>17</v>
      </c>
      <c r="W39" s="775">
        <f t="shared" si="11"/>
        <v>100</v>
      </c>
      <c r="X39" s="1812"/>
      <c r="Y39" s="3182" t="s">
        <v>2559</v>
      </c>
      <c r="Z39" s="1813" t="str">
        <f t="shared" si="12"/>
        <v>物业管理</v>
      </c>
      <c r="AA39" s="1810">
        <f t="shared" si="3"/>
        <v>1</v>
      </c>
      <c r="AB39" s="1810">
        <f t="shared" si="4"/>
        <v>1</v>
      </c>
      <c r="AC39" s="2674">
        <f t="shared" si="5"/>
        <v>1</v>
      </c>
    </row>
    <row r="40" spans="1:29" ht="15.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3"/>
      <c r="Q40" s="1809" t="str">
        <f t="shared" si="8"/>
        <v>市政基础设施</v>
      </c>
      <c r="R40" s="774" t="s">
        <v>17</v>
      </c>
      <c r="S40" s="775">
        <f t="shared" si="9"/>
        <v>100</v>
      </c>
      <c r="T40" s="774" t="s">
        <v>17</v>
      </c>
      <c r="U40" s="775">
        <f t="shared" si="10"/>
        <v>100</v>
      </c>
      <c r="V40" s="774" t="s">
        <v>17</v>
      </c>
      <c r="W40" s="775">
        <f t="shared" si="11"/>
        <v>100</v>
      </c>
      <c r="X40" s="1812"/>
      <c r="Y40" s="3182"/>
      <c r="Z40" s="1813" t="str">
        <f t="shared" si="12"/>
        <v>市政基础设施</v>
      </c>
      <c r="AA40" s="1810">
        <f t="shared" si="3"/>
        <v>1</v>
      </c>
      <c r="AB40" s="1810">
        <f t="shared" si="4"/>
        <v>1</v>
      </c>
      <c r="AC40" s="2674">
        <f t="shared" si="5"/>
        <v>1</v>
      </c>
    </row>
    <row r="41" spans="1:29" ht="15.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3"/>
      <c r="Q41" s="1809" t="str">
        <f t="shared" si="8"/>
        <v>层高</v>
      </c>
      <c r="R41" s="774" t="s">
        <v>17</v>
      </c>
      <c r="S41" s="775">
        <f t="shared" si="9"/>
        <v>100</v>
      </c>
      <c r="T41" s="774" t="s">
        <v>17</v>
      </c>
      <c r="U41" s="775">
        <f t="shared" si="10"/>
        <v>100</v>
      </c>
      <c r="V41" s="774" t="s">
        <v>17</v>
      </c>
      <c r="W41" s="775">
        <f t="shared" si="11"/>
        <v>100</v>
      </c>
      <c r="X41" s="1812"/>
      <c r="Y41" s="3182"/>
      <c r="Z41" s="1813" t="str">
        <f t="shared" si="12"/>
        <v>层高</v>
      </c>
      <c r="AA41" s="1810">
        <f t="shared" si="3"/>
        <v>1</v>
      </c>
      <c r="AB41" s="1810">
        <f t="shared" si="4"/>
        <v>1</v>
      </c>
      <c r="AC41" s="2674">
        <f t="shared" si="5"/>
        <v>1</v>
      </c>
    </row>
    <row r="42" spans="1:29" s="471" customFormat="1" ht="15.5">
      <c r="A42" s="468"/>
      <c r="B42" s="1811"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3"/>
      <c r="Q42" s="776" t="str">
        <f t="shared" si="8"/>
        <v>单套建筑面积</v>
      </c>
      <c r="R42" s="777" t="s">
        <v>17</v>
      </c>
      <c r="S42" s="778">
        <f t="shared" si="9"/>
        <v>100</v>
      </c>
      <c r="T42" s="777" t="s">
        <v>17</v>
      </c>
      <c r="U42" s="778">
        <f t="shared" si="10"/>
        <v>100</v>
      </c>
      <c r="V42" s="777" t="s">
        <v>17</v>
      </c>
      <c r="W42" s="778">
        <f t="shared" si="11"/>
        <v>100</v>
      </c>
      <c r="X42" s="779"/>
      <c r="Y42" s="3182"/>
      <c r="Z42" s="780" t="str">
        <f t="shared" si="12"/>
        <v>单套建筑面积</v>
      </c>
      <c r="AA42" s="1810">
        <f t="shared" si="3"/>
        <v>1</v>
      </c>
      <c r="AB42" s="1810">
        <f t="shared" si="4"/>
        <v>1</v>
      </c>
      <c r="AC42" s="2674">
        <f t="shared" si="5"/>
        <v>1</v>
      </c>
    </row>
    <row r="43" spans="1:29" ht="15.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3"/>
      <c r="Q43" s="1809" t="str">
        <f t="shared" si="8"/>
        <v>内部装修</v>
      </c>
      <c r="R43" s="774" t="s">
        <v>17</v>
      </c>
      <c r="S43" s="775">
        <f t="shared" si="9"/>
        <v>100</v>
      </c>
      <c r="T43" s="774" t="s">
        <v>17</v>
      </c>
      <c r="U43" s="775">
        <f t="shared" si="10"/>
        <v>100</v>
      </c>
      <c r="V43" s="774" t="s">
        <v>17</v>
      </c>
      <c r="W43" s="775">
        <f t="shared" si="11"/>
        <v>100</v>
      </c>
      <c r="X43" s="1812"/>
      <c r="Y43" s="3182"/>
      <c r="Z43" s="1813" t="str">
        <f t="shared" si="12"/>
        <v>内部装修</v>
      </c>
      <c r="AA43" s="1810">
        <f t="shared" si="3"/>
        <v>1</v>
      </c>
      <c r="AB43" s="1810">
        <f t="shared" si="4"/>
        <v>1</v>
      </c>
      <c r="AC43" s="2674">
        <f t="shared" si="5"/>
        <v>1</v>
      </c>
    </row>
    <row r="44" spans="1:29" ht="28">
      <c r="A44" s="472"/>
      <c r="B44" s="422" t="s">
        <v>2570</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43"/>
      <c r="Q44" s="1809" t="str">
        <f t="shared" si="8"/>
        <v>内部装修维护情况</v>
      </c>
      <c r="R44" s="774" t="s">
        <v>17</v>
      </c>
      <c r="S44" s="775">
        <f t="shared" si="9"/>
        <v>100</v>
      </c>
      <c r="T44" s="774" t="s">
        <v>17</v>
      </c>
      <c r="U44" s="775">
        <f t="shared" si="10"/>
        <v>100</v>
      </c>
      <c r="V44" s="774" t="s">
        <v>17</v>
      </c>
      <c r="W44" s="775">
        <f t="shared" si="11"/>
        <v>100</v>
      </c>
      <c r="X44" s="1812"/>
      <c r="Y44" s="3182"/>
      <c r="Z44" s="1813" t="str">
        <f t="shared" si="12"/>
        <v>内部装修维护情况</v>
      </c>
      <c r="AA44" s="1810">
        <f t="shared" si="3"/>
        <v>1</v>
      </c>
      <c r="AB44" s="1810">
        <f t="shared" si="4"/>
        <v>1</v>
      </c>
      <c r="AC44" s="2674">
        <f t="shared" si="5"/>
        <v>1</v>
      </c>
    </row>
    <row r="45" spans="1:29" s="117" customFormat="1" ht="15.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3"/>
      <c r="Q45" s="1794">
        <f t="shared" si="8"/>
        <v>111</v>
      </c>
      <c r="R45" s="770" t="s">
        <v>17</v>
      </c>
      <c r="S45" s="771">
        <f t="shared" si="9"/>
        <v>100</v>
      </c>
      <c r="T45" s="770" t="s">
        <v>17</v>
      </c>
      <c r="U45" s="771">
        <f t="shared" si="10"/>
        <v>100</v>
      </c>
      <c r="V45" s="770" t="s">
        <v>17</v>
      </c>
      <c r="W45" s="771">
        <f t="shared" si="11"/>
        <v>100</v>
      </c>
      <c r="X45" s="772"/>
      <c r="Y45" s="3182"/>
      <c r="Z45" s="55">
        <f t="shared" si="12"/>
        <v>111</v>
      </c>
      <c r="AA45" s="773">
        <f t="shared" si="3"/>
        <v>1</v>
      </c>
      <c r="AB45" s="773">
        <f t="shared" si="4"/>
        <v>1</v>
      </c>
      <c r="AC45" s="2671">
        <f t="shared" si="5"/>
        <v>1</v>
      </c>
    </row>
    <row r="46" spans="1:29" ht="15.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3"/>
      <c r="Q46" s="1809">
        <f t="shared" si="8"/>
        <v>111</v>
      </c>
      <c r="R46" s="774" t="s">
        <v>17</v>
      </c>
      <c r="S46" s="775">
        <f t="shared" si="9"/>
        <v>100</v>
      </c>
      <c r="T46" s="774" t="s">
        <v>17</v>
      </c>
      <c r="U46" s="775">
        <f t="shared" si="10"/>
        <v>100</v>
      </c>
      <c r="V46" s="774" t="s">
        <v>17</v>
      </c>
      <c r="W46" s="775">
        <f t="shared" si="11"/>
        <v>100</v>
      </c>
      <c r="X46" s="1812"/>
      <c r="Y46" s="3182"/>
      <c r="Z46" s="1813">
        <f t="shared" si="12"/>
        <v>111</v>
      </c>
      <c r="AA46" s="1810">
        <f t="shared" si="3"/>
        <v>1</v>
      </c>
      <c r="AB46" s="1810">
        <f t="shared" si="4"/>
        <v>1</v>
      </c>
      <c r="AC46" s="2674">
        <f t="shared" si="5"/>
        <v>1</v>
      </c>
    </row>
    <row r="47" spans="1:29" ht="16"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4"/>
      <c r="Q47" s="1809">
        <f t="shared" si="8"/>
        <v>111</v>
      </c>
      <c r="R47" s="774" t="s">
        <v>17</v>
      </c>
      <c r="S47" s="775">
        <f t="shared" si="9"/>
        <v>100</v>
      </c>
      <c r="T47" s="774" t="s">
        <v>17</v>
      </c>
      <c r="U47" s="775">
        <f t="shared" si="10"/>
        <v>100</v>
      </c>
      <c r="V47" s="774" t="s">
        <v>17</v>
      </c>
      <c r="W47" s="775">
        <f t="shared" si="11"/>
        <v>100</v>
      </c>
      <c r="X47" s="1812"/>
      <c r="Y47" s="3245"/>
      <c r="Z47" s="1813">
        <f t="shared" si="12"/>
        <v>111</v>
      </c>
      <c r="AA47" s="1810">
        <f t="shared" si="3"/>
        <v>1</v>
      </c>
      <c r="AB47" s="1810">
        <f t="shared" si="4"/>
        <v>1</v>
      </c>
      <c r="AC47" s="2674">
        <f t="shared" si="5"/>
        <v>1</v>
      </c>
    </row>
    <row r="48" spans="1:29">
      <c r="A48" s="479" t="s">
        <v>2571</v>
      </c>
      <c r="B48" s="480"/>
      <c r="C48" s="1407" t="s">
        <v>1</v>
      </c>
      <c r="D48" s="1408"/>
      <c r="E48" s="1409"/>
      <c r="F48" s="1410"/>
      <c r="G48" s="1411"/>
      <c r="H48" s="1412"/>
      <c r="I48" s="1409"/>
      <c r="J48" s="485"/>
      <c r="K48" s="783"/>
      <c r="L48" s="1143"/>
      <c r="M48" s="1131"/>
      <c r="N48" s="1131"/>
      <c r="O48" s="1131"/>
      <c r="P48" s="3176" t="str">
        <f>A48</f>
        <v>成交单价（元/平方米）</v>
      </c>
      <c r="Q48" s="3177"/>
      <c r="R48" s="3241">
        <f>E48</f>
        <v>0</v>
      </c>
      <c r="S48" s="3241"/>
      <c r="T48" s="3241">
        <f>G48</f>
        <v>0</v>
      </c>
      <c r="U48" s="3241"/>
      <c r="V48" s="3241">
        <f>I48</f>
        <v>0</v>
      </c>
      <c r="W48" s="3241"/>
      <c r="X48" s="446"/>
      <c r="Y48" s="781"/>
      <c r="Z48" s="446"/>
      <c r="AA48" s="446"/>
      <c r="AB48" s="446"/>
      <c r="AC48" s="630"/>
    </row>
    <row r="49" spans="1:29" ht="14.5" thickBot="1">
      <c r="A49" s="486" t="s">
        <v>2663</v>
      </c>
      <c r="B49" s="487"/>
      <c r="C49" s="1413" t="e">
        <f>R50</f>
        <v>#DIV/0!</v>
      </c>
      <c r="D49" s="1414"/>
      <c r="E49" s="1415" t="e">
        <f>R49</f>
        <v>#DIV/0!</v>
      </c>
      <c r="F49" s="1415"/>
      <c r="G49" s="1413" t="e">
        <f>T49</f>
        <v>#DIV/0!</v>
      </c>
      <c r="H49" s="1414"/>
      <c r="I49" s="1415" t="e">
        <f>V49</f>
        <v>#DIV/0!</v>
      </c>
      <c r="J49" s="489"/>
      <c r="K49" s="784"/>
      <c r="L49" s="1143"/>
      <c r="M49" s="1131"/>
      <c r="N49" s="1131"/>
      <c r="O49" s="1131"/>
      <c r="P49" s="3176" t="str">
        <f>A49</f>
        <v>比较价值（元/平方米）</v>
      </c>
      <c r="Q49" s="3177"/>
      <c r="R49" s="3241" t="e">
        <f>IF(F1="售价",ROUND(PRODUCT(R48,AA7:AA47),0),ROUND(PRODUCT(R48,AA7:AA47),1))</f>
        <v>#DIV/0!</v>
      </c>
      <c r="S49" s="3241"/>
      <c r="T49" s="3241" t="e">
        <f>IF(F1="售价",ROUND(PRODUCT(T48,AB7:AB47),0),ROUND(PRODUCT(T48,AB7:AB47),1))</f>
        <v>#DIV/0!</v>
      </c>
      <c r="U49" s="3241"/>
      <c r="V49" s="3241" t="e">
        <f>IF(F1="售价",ROUND(PRODUCT(V48,AC7:AC47),0),ROUND(PRODUCT(V48,AC7:AC47),1))</f>
        <v>#DIV/0!</v>
      </c>
      <c r="W49" s="3241"/>
      <c r="X49" s="446"/>
      <c r="Y49" s="446"/>
      <c r="Z49" s="446"/>
      <c r="AA49" s="446"/>
      <c r="AB49" s="446"/>
      <c r="AC49" s="630"/>
    </row>
    <row r="50" spans="1:29" ht="14.5" thickBot="1">
      <c r="A50" s="492" t="s">
        <v>2664</v>
      </c>
      <c r="B50" s="493"/>
      <c r="C50" s="1417" t="e">
        <f>R50</f>
        <v>#DIV/0!</v>
      </c>
      <c r="D50" s="1417"/>
      <c r="E50" s="1417"/>
      <c r="F50" s="1417"/>
      <c r="G50" s="1417"/>
      <c r="H50" s="1417"/>
      <c r="I50" s="1417"/>
      <c r="J50" s="494"/>
      <c r="K50" s="785"/>
      <c r="L50" s="1143"/>
      <c r="M50" s="1131"/>
      <c r="N50" s="1131"/>
      <c r="O50" s="1131"/>
      <c r="P50" s="3248" t="str">
        <f>A50</f>
        <v>估价对象XX用房的比较价值（楼面单价，元/平方米）</v>
      </c>
      <c r="Q50" s="3249"/>
      <c r="R50" s="3250" t="e">
        <f>IF(F1="售价",ROUND(AVERAGE(R49:V49),0),ROUND(AVERAGE(R49:V49),1))</f>
        <v>#DIV/0!</v>
      </c>
      <c r="S50" s="3250"/>
      <c r="T50" s="3250"/>
      <c r="U50" s="3250"/>
      <c r="V50" s="3250"/>
      <c r="W50" s="3250"/>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5" thickBot="1">
      <c r="A58" s="763" t="s">
        <v>2668</v>
      </c>
      <c r="B58" s="759"/>
      <c r="C58" s="764"/>
      <c r="D58" s="764"/>
      <c r="E58" s="764"/>
      <c r="F58" s="765"/>
      <c r="G58" s="765"/>
      <c r="H58" s="764"/>
      <c r="I58" s="764"/>
      <c r="J58" s="764"/>
      <c r="K58" s="766"/>
      <c r="L58" s="1161"/>
      <c r="M58" s="1159"/>
      <c r="N58" s="1159"/>
      <c r="O58" s="1159"/>
      <c r="P58" s="2681"/>
      <c r="Q58" s="504"/>
    </row>
    <row r="59" spans="1:29" s="508" customFormat="1">
      <c r="A59" s="505" t="s">
        <v>2542</v>
      </c>
      <c r="B59" s="506"/>
      <c r="C59" s="1573" t="str">
        <f>YEAR(C7)&amp;"-"&amp;MONTH(C7)</f>
        <v>2020-2</v>
      </c>
      <c r="D59" s="1574">
        <f>EDATE(C59,-1)</f>
        <v>43831</v>
      </c>
      <c r="E59" s="1574">
        <f>EDATE(D59,-1)</f>
        <v>43800</v>
      </c>
      <c r="F59" s="1574">
        <f t="shared" ref="F59:O59" si="13">EDATE(E59,-1)</f>
        <v>43770</v>
      </c>
      <c r="G59" s="1574">
        <f t="shared" si="13"/>
        <v>43739</v>
      </c>
      <c r="H59" s="1574">
        <f t="shared" si="13"/>
        <v>43709</v>
      </c>
      <c r="I59" s="1574">
        <f t="shared" si="13"/>
        <v>43678</v>
      </c>
      <c r="J59" s="1574">
        <f t="shared" si="13"/>
        <v>43647</v>
      </c>
      <c r="K59" s="1574">
        <f t="shared" si="13"/>
        <v>43617</v>
      </c>
      <c r="L59" s="1574">
        <f t="shared" si="13"/>
        <v>43586</v>
      </c>
      <c r="M59" s="1574">
        <f t="shared" si="13"/>
        <v>43556</v>
      </c>
      <c r="N59" s="1574">
        <f t="shared" si="13"/>
        <v>43525</v>
      </c>
      <c r="O59" s="1574">
        <f t="shared" si="13"/>
        <v>43497</v>
      </c>
      <c r="P59" s="1570"/>
    </row>
    <row r="60" spans="1:29" s="117" customFormat="1">
      <c r="A60" s="509"/>
      <c r="B60" s="510"/>
      <c r="C60" s="1572">
        <v>100</v>
      </c>
      <c r="D60" s="512"/>
      <c r="E60" s="512"/>
      <c r="F60" s="512"/>
      <c r="G60" s="512"/>
      <c r="H60" s="512"/>
      <c r="I60" s="512"/>
      <c r="J60" s="512"/>
      <c r="K60" s="512"/>
      <c r="L60" s="512"/>
      <c r="M60" s="513"/>
      <c r="N60" s="512"/>
      <c r="O60" s="513"/>
      <c r="P60" s="2682"/>
    </row>
    <row r="61" spans="1:29" s="117" customFormat="1" ht="14.5" thickBot="1">
      <c r="A61" s="515" t="s">
        <v>2579</v>
      </c>
      <c r="B61" s="516"/>
      <c r="C61" s="517"/>
      <c r="D61" s="518"/>
      <c r="E61" s="518"/>
      <c r="F61" s="518"/>
      <c r="G61" s="518"/>
      <c r="H61" s="518"/>
      <c r="I61" s="518"/>
      <c r="J61" s="518"/>
      <c r="K61" s="518"/>
      <c r="L61" s="518"/>
      <c r="M61" s="519"/>
      <c r="N61" s="518"/>
      <c r="O61" s="519"/>
      <c r="P61" s="2682"/>
      <c r="Q61" s="504"/>
    </row>
    <row r="62" spans="1:29" s="117" customFormat="1">
      <c r="A62" s="521" t="s">
        <v>2544</v>
      </c>
      <c r="B62" s="510"/>
      <c r="C62" s="522" t="s">
        <v>2646</v>
      </c>
      <c r="D62" s="523"/>
      <c r="E62" s="523"/>
      <c r="F62" s="523"/>
      <c r="G62" s="523"/>
      <c r="H62" s="523"/>
      <c r="I62" s="523"/>
      <c r="J62" s="523"/>
      <c r="K62" s="523"/>
      <c r="L62" s="524"/>
      <c r="M62" s="525"/>
      <c r="N62" s="1151"/>
      <c r="O62" s="1151"/>
      <c r="P62" s="2683"/>
      <c r="Q62" s="504"/>
    </row>
    <row r="63" spans="1:29" s="117" customFormat="1" ht="14.5" thickBot="1">
      <c r="A63" s="521"/>
      <c r="B63" s="510"/>
      <c r="C63" s="511">
        <v>100</v>
      </c>
      <c r="D63" s="512"/>
      <c r="E63" s="512"/>
      <c r="F63" s="512"/>
      <c r="G63" s="512"/>
      <c r="H63" s="512"/>
      <c r="I63" s="512"/>
      <c r="J63" s="512"/>
      <c r="K63" s="512"/>
      <c r="L63" s="512"/>
      <c r="M63" s="514"/>
      <c r="N63" s="1151"/>
      <c r="O63" s="1151"/>
      <c r="P63" s="2682"/>
      <c r="Q63" s="504"/>
    </row>
    <row r="64" spans="1:29">
      <c r="A64" s="527" t="s">
        <v>2582</v>
      </c>
      <c r="B64" s="528" t="s">
        <v>2548</v>
      </c>
      <c r="C64" s="529">
        <f>C9</f>
        <v>0</v>
      </c>
      <c r="D64" s="530"/>
      <c r="E64" s="530"/>
      <c r="F64" s="530"/>
      <c r="G64" s="530"/>
      <c r="H64" s="530"/>
      <c r="I64" s="530"/>
      <c r="J64" s="530"/>
      <c r="K64" s="531"/>
      <c r="L64" s="532"/>
      <c r="M64" s="533"/>
      <c r="N64" s="1152"/>
      <c r="O64" s="1152"/>
      <c r="P64" s="2684"/>
      <c r="Q64" s="504"/>
    </row>
    <row r="65" spans="1:17" ht="14.5" thickBot="1">
      <c r="A65" s="534"/>
      <c r="B65" s="535"/>
      <c r="C65" s="536">
        <v>100</v>
      </c>
      <c r="D65" s="536"/>
      <c r="E65" s="536"/>
      <c r="F65" s="536"/>
      <c r="G65" s="536"/>
      <c r="H65" s="536"/>
      <c r="I65" s="536"/>
      <c r="J65" s="536"/>
      <c r="K65" s="536"/>
      <c r="L65" s="536"/>
      <c r="M65" s="537"/>
      <c r="N65" s="1153"/>
      <c r="O65" s="1153"/>
      <c r="P65" s="2684"/>
      <c r="Q65" s="504"/>
    </row>
    <row r="66" spans="1:17" ht="28.5" thickTop="1">
      <c r="A66" s="534"/>
      <c r="B66" s="538" t="s">
        <v>2551</v>
      </c>
      <c r="C66" s="539" t="s">
        <v>2583</v>
      </c>
      <c r="D66" s="539" t="s">
        <v>2584</v>
      </c>
      <c r="E66" s="539" t="s">
        <v>2585</v>
      </c>
      <c r="F66" s="539" t="s">
        <v>2586</v>
      </c>
      <c r="G66" s="539" t="s">
        <v>2587</v>
      </c>
      <c r="H66" s="539" t="s">
        <v>2588</v>
      </c>
      <c r="I66" s="539" t="s">
        <v>2589</v>
      </c>
      <c r="J66" s="539"/>
      <c r="K66" s="540"/>
      <c r="L66" s="541"/>
      <c r="M66" s="542"/>
      <c r="N66" s="1152"/>
      <c r="O66" s="1152"/>
      <c r="P66" s="2684"/>
      <c r="Q66" s="504"/>
    </row>
    <row r="67" spans="1:17" ht="14.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4.5" thickTop="1">
      <c r="A68" s="534"/>
      <c r="B68" s="546" t="s">
        <v>2552</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3"/>
      <c r="O68" s="1153"/>
      <c r="P68" s="2684"/>
      <c r="Q68" s="504"/>
    </row>
    <row r="69" spans="1:17">
      <c r="A69" s="534"/>
      <c r="B69" s="548"/>
      <c r="C69" s="549"/>
      <c r="D69" s="549"/>
      <c r="E69" s="549"/>
      <c r="F69" s="549"/>
      <c r="G69" s="549"/>
      <c r="H69" s="549"/>
      <c r="I69" s="549"/>
      <c r="J69" s="549"/>
      <c r="K69" s="550"/>
      <c r="L69" s="551"/>
      <c r="M69" s="552"/>
      <c r="N69" s="1152"/>
      <c r="O69" s="1152"/>
      <c r="P69" s="2684"/>
      <c r="Q69" s="504"/>
    </row>
    <row r="70" spans="1:17" ht="14.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3"/>
      <c r="O70" s="1153"/>
      <c r="P70" s="2684"/>
      <c r="Q70" s="504"/>
    </row>
    <row r="71" spans="1:17" s="471" customFormat="1" ht="14.5" thickTop="1">
      <c r="A71" s="553"/>
      <c r="B71" s="538">
        <f>B12</f>
        <v>111</v>
      </c>
      <c r="C71" s="554"/>
      <c r="D71" s="554"/>
      <c r="E71" s="554"/>
      <c r="F71" s="554"/>
      <c r="G71" s="554"/>
      <c r="H71" s="555"/>
      <c r="I71" s="555"/>
      <c r="J71" s="555"/>
      <c r="K71" s="555"/>
      <c r="L71" s="556"/>
      <c r="M71" s="557"/>
      <c r="N71" s="1154"/>
      <c r="O71" s="1154"/>
      <c r="P71" s="2685"/>
      <c r="Q71" s="559"/>
    </row>
    <row r="72" spans="1:17" s="471" customFormat="1" ht="14.5" thickBot="1">
      <c r="A72" s="553"/>
      <c r="B72" s="543"/>
      <c r="C72" s="560"/>
      <c r="D72" s="536"/>
      <c r="E72" s="536"/>
      <c r="F72" s="536"/>
      <c r="G72" s="536"/>
      <c r="H72" s="536"/>
      <c r="I72" s="536"/>
      <c r="J72" s="536"/>
      <c r="K72" s="536"/>
      <c r="L72" s="536"/>
      <c r="M72" s="537"/>
      <c r="N72" s="1153"/>
      <c r="O72" s="1153"/>
      <c r="P72" s="2685"/>
      <c r="Q72" s="559"/>
    </row>
    <row r="73" spans="1:17" s="471" customFormat="1" ht="14.5" thickTop="1">
      <c r="A73" s="553"/>
      <c r="B73" s="538">
        <f>B13</f>
        <v>111</v>
      </c>
      <c r="C73" s="554"/>
      <c r="D73" s="554"/>
      <c r="E73" s="554"/>
      <c r="F73" s="554"/>
      <c r="G73" s="554"/>
      <c r="H73" s="555"/>
      <c r="I73" s="555"/>
      <c r="J73" s="555"/>
      <c r="K73" s="555"/>
      <c r="L73" s="556"/>
      <c r="M73" s="557"/>
      <c r="N73" s="1154"/>
      <c r="O73" s="1154"/>
      <c r="P73" s="2686"/>
      <c r="Q73" s="561"/>
    </row>
    <row r="74" spans="1:17" s="471" customFormat="1" ht="14.5" thickBot="1">
      <c r="A74" s="553"/>
      <c r="B74" s="543"/>
      <c r="C74" s="560"/>
      <c r="D74" s="560"/>
      <c r="E74" s="560"/>
      <c r="F74" s="560"/>
      <c r="G74" s="560"/>
      <c r="H74" s="562"/>
      <c r="I74" s="562"/>
      <c r="J74" s="562"/>
      <c r="K74" s="562"/>
      <c r="L74" s="562"/>
      <c r="M74" s="563"/>
      <c r="N74" s="1154"/>
      <c r="O74" s="1154"/>
      <c r="P74" s="2685"/>
      <c r="Q74" s="559"/>
    </row>
    <row r="75" spans="1:17" s="471" customFormat="1" ht="14.5" thickTop="1">
      <c r="A75" s="553"/>
      <c r="B75" s="546">
        <f>B14</f>
        <v>111</v>
      </c>
      <c r="C75" s="523"/>
      <c r="D75" s="523"/>
      <c r="E75" s="523"/>
      <c r="F75" s="523"/>
      <c r="G75" s="523"/>
      <c r="H75" s="564"/>
      <c r="I75" s="564"/>
      <c r="J75" s="564"/>
      <c r="K75" s="564"/>
      <c r="L75" s="565"/>
      <c r="M75" s="566"/>
      <c r="N75" s="1154"/>
      <c r="O75" s="1154"/>
      <c r="P75" s="2687"/>
      <c r="Q75" s="559"/>
    </row>
    <row r="76" spans="1:17" s="471" customFormat="1" ht="14.5" thickBot="1">
      <c r="A76" s="568"/>
      <c r="B76" s="569"/>
      <c r="C76" s="570"/>
      <c r="D76" s="570"/>
      <c r="E76" s="570"/>
      <c r="F76" s="570"/>
      <c r="G76" s="570"/>
      <c r="H76" s="571"/>
      <c r="I76" s="571"/>
      <c r="J76" s="571"/>
      <c r="K76" s="571"/>
      <c r="L76" s="571"/>
      <c r="M76" s="572"/>
      <c r="N76" s="1154"/>
      <c r="O76" s="1154"/>
      <c r="P76" s="2685"/>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2"/>
      <c r="O77" s="1152"/>
      <c r="P77" s="2688"/>
      <c r="Q77" s="504"/>
    </row>
    <row r="78" spans="1:17" ht="14.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4.5" thickTop="1">
      <c r="A79" s="534"/>
      <c r="B79" s="538" t="s">
        <v>2596</v>
      </c>
      <c r="C79" s="578" t="s">
        <v>2591</v>
      </c>
      <c r="D79" s="578" t="s">
        <v>2592</v>
      </c>
      <c r="E79" s="578" t="s">
        <v>2593</v>
      </c>
      <c r="F79" s="578" t="s">
        <v>2594</v>
      </c>
      <c r="G79" s="578" t="s">
        <v>2595</v>
      </c>
      <c r="H79" s="539"/>
      <c r="I79" s="539"/>
      <c r="J79" s="539"/>
      <c r="K79" s="540"/>
      <c r="L79" s="541"/>
      <c r="M79" s="542"/>
      <c r="N79" s="1152"/>
      <c r="O79" s="1152"/>
      <c r="P79" s="2684"/>
      <c r="Q79" s="504"/>
    </row>
    <row r="80" spans="1:17" ht="14.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4.5" thickTop="1">
      <c r="A81" s="534"/>
      <c r="B81" s="538" t="s">
        <v>2597</v>
      </c>
      <c r="C81" s="578" t="s">
        <v>2591</v>
      </c>
      <c r="D81" s="578" t="s">
        <v>2592</v>
      </c>
      <c r="E81" s="578" t="s">
        <v>2593</v>
      </c>
      <c r="F81" s="578" t="s">
        <v>2594</v>
      </c>
      <c r="G81" s="578" t="s">
        <v>2595</v>
      </c>
      <c r="H81" s="539"/>
      <c r="I81" s="539"/>
      <c r="J81" s="539"/>
      <c r="K81" s="540"/>
      <c r="L81" s="541"/>
      <c r="M81" s="542"/>
      <c r="N81" s="1152"/>
      <c r="O81" s="1152"/>
      <c r="P81" s="2684"/>
      <c r="Q81" s="504"/>
    </row>
    <row r="82" spans="1:17" ht="14.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4.5" thickTop="1">
      <c r="A83" s="534"/>
      <c r="B83" s="546" t="s">
        <v>2683</v>
      </c>
      <c r="C83" s="660" t="s">
        <v>2669</v>
      </c>
      <c r="D83" s="660" t="s">
        <v>2670</v>
      </c>
      <c r="E83" s="660" t="s">
        <v>2671</v>
      </c>
      <c r="F83" s="660" t="s">
        <v>2672</v>
      </c>
      <c r="G83" s="660" t="s">
        <v>2673</v>
      </c>
      <c r="H83" s="539"/>
      <c r="I83" s="539"/>
      <c r="J83" s="539"/>
      <c r="K83" s="539"/>
      <c r="L83" s="539"/>
      <c r="M83" s="1382"/>
      <c r="N83" s="1153"/>
      <c r="O83" s="1153"/>
      <c r="P83" s="2684"/>
      <c r="Q83" s="504"/>
    </row>
    <row r="84" spans="1:17" ht="14.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4.5" thickTop="1">
      <c r="A85" s="534"/>
      <c r="B85" s="538" t="s">
        <v>2692</v>
      </c>
      <c r="C85" s="578" t="s">
        <v>2591</v>
      </c>
      <c r="D85" s="578" t="s">
        <v>2592</v>
      </c>
      <c r="E85" s="578" t="s">
        <v>2593</v>
      </c>
      <c r="F85" s="578" t="s">
        <v>2594</v>
      </c>
      <c r="G85" s="578" t="s">
        <v>2595</v>
      </c>
      <c r="H85" s="539"/>
      <c r="I85" s="539"/>
      <c r="J85" s="539"/>
      <c r="K85" s="540"/>
      <c r="L85" s="541"/>
      <c r="M85" s="542"/>
      <c r="N85" s="1152"/>
      <c r="O85" s="1152"/>
      <c r="P85" s="2684"/>
      <c r="Q85" s="504"/>
    </row>
    <row r="86" spans="1:17" ht="14.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8.5" thickTop="1">
      <c r="A87" s="579"/>
      <c r="B87" s="538" t="s">
        <v>2693</v>
      </c>
      <c r="C87" s="554"/>
      <c r="D87" s="554"/>
      <c r="E87" s="554"/>
      <c r="F87" s="554"/>
      <c r="G87" s="554"/>
      <c r="H87" s="554"/>
      <c r="I87" s="554"/>
      <c r="J87" s="554"/>
      <c r="K87" s="554"/>
      <c r="L87" s="580"/>
      <c r="M87" s="581"/>
      <c r="N87" s="1151"/>
      <c r="O87" s="1151"/>
      <c r="P87" s="2684"/>
      <c r="Q87" s="504"/>
    </row>
    <row r="88" spans="1:17" s="117" customFormat="1" ht="14.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3"/>
      <c r="O88" s="1153"/>
      <c r="P88" s="2684"/>
      <c r="Q88" s="504"/>
    </row>
    <row r="89" spans="1:17" s="117" customFormat="1" ht="14.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4.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3"/>
      <c r="O90" s="1153"/>
      <c r="P90" s="2684"/>
      <c r="Q90" s="504"/>
    </row>
    <row r="91" spans="1:17" s="471" customFormat="1" ht="14.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4.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4"/>
      <c r="O92" s="1154"/>
      <c r="P92" s="2685"/>
      <c r="Q92" s="559"/>
    </row>
    <row r="93" spans="1:17" ht="14.5" thickTop="1">
      <c r="A93" s="534"/>
      <c r="B93" s="538">
        <f>B29</f>
        <v>111</v>
      </c>
      <c r="C93" s="554"/>
      <c r="D93" s="554"/>
      <c r="E93" s="554"/>
      <c r="F93" s="554"/>
      <c r="G93" s="554"/>
      <c r="H93" s="554"/>
      <c r="I93" s="554"/>
      <c r="J93" s="554"/>
      <c r="K93" s="554"/>
      <c r="L93" s="580"/>
      <c r="M93" s="581"/>
      <c r="N93" s="1152"/>
      <c r="O93" s="1152"/>
      <c r="P93" s="2684"/>
      <c r="Q93" s="504"/>
    </row>
    <row r="94" spans="1:17" ht="14.5" thickBot="1">
      <c r="A94" s="534"/>
      <c r="B94" s="543"/>
      <c r="C94" s="560"/>
      <c r="D94" s="536"/>
      <c r="E94" s="536"/>
      <c r="F94" s="536"/>
      <c r="G94" s="536"/>
      <c r="H94" s="536"/>
      <c r="I94" s="536"/>
      <c r="J94" s="536"/>
      <c r="K94" s="536"/>
      <c r="L94" s="536"/>
      <c r="M94" s="537"/>
      <c r="N94" s="1153"/>
      <c r="O94" s="1153"/>
      <c r="P94" s="2684"/>
      <c r="Q94" s="504"/>
    </row>
    <row r="95" spans="1:17" ht="14.5" thickTop="1">
      <c r="A95" s="534"/>
      <c r="B95" s="538">
        <f>B30</f>
        <v>111</v>
      </c>
      <c r="C95" s="554"/>
      <c r="D95" s="554"/>
      <c r="E95" s="554"/>
      <c r="F95" s="554"/>
      <c r="G95" s="583"/>
      <c r="H95" s="583"/>
      <c r="I95" s="583"/>
      <c r="J95" s="583"/>
      <c r="K95" s="584"/>
      <c r="L95" s="585"/>
      <c r="M95" s="586"/>
      <c r="N95" s="1152"/>
      <c r="O95" s="1152"/>
      <c r="P95" s="2684"/>
      <c r="Q95" s="504"/>
    </row>
    <row r="96" spans="1:17" ht="14.5" thickBot="1">
      <c r="A96" s="534"/>
      <c r="B96" s="543"/>
      <c r="C96" s="560"/>
      <c r="D96" s="560"/>
      <c r="E96" s="560"/>
      <c r="F96" s="560"/>
      <c r="G96" s="536"/>
      <c r="H96" s="536"/>
      <c r="I96" s="536"/>
      <c r="J96" s="536"/>
      <c r="K96" s="536"/>
      <c r="L96" s="536"/>
      <c r="M96" s="537"/>
      <c r="N96" s="1153"/>
      <c r="O96" s="1153"/>
      <c r="P96" s="2684"/>
      <c r="Q96" s="504"/>
    </row>
    <row r="97" spans="1:17" ht="14.5" thickTop="1">
      <c r="A97" s="534"/>
      <c r="B97" s="538">
        <f>B31</f>
        <v>111</v>
      </c>
      <c r="C97" s="554"/>
      <c r="D97" s="554"/>
      <c r="E97" s="554"/>
      <c r="F97" s="554"/>
      <c r="G97" s="583"/>
      <c r="H97" s="583"/>
      <c r="I97" s="583"/>
      <c r="J97" s="583"/>
      <c r="K97" s="584"/>
      <c r="L97" s="585"/>
      <c r="M97" s="586"/>
      <c r="N97" s="1152"/>
      <c r="O97" s="1152"/>
      <c r="P97" s="2684"/>
      <c r="Q97" s="504"/>
    </row>
    <row r="98" spans="1:17" ht="14.5" thickBot="1">
      <c r="A98" s="534"/>
      <c r="B98" s="543"/>
      <c r="C98" s="560"/>
      <c r="D98" s="536"/>
      <c r="E98" s="536"/>
      <c r="F98" s="536"/>
      <c r="G98" s="536"/>
      <c r="H98" s="536"/>
      <c r="I98" s="536"/>
      <c r="J98" s="536"/>
      <c r="K98" s="536"/>
      <c r="L98" s="536"/>
      <c r="M98" s="537"/>
      <c r="N98" s="1153"/>
      <c r="O98" s="1153"/>
      <c r="P98" s="2684"/>
      <c r="Q98" s="504"/>
    </row>
    <row r="99" spans="1:17" ht="14.5" thickTop="1">
      <c r="A99" s="534"/>
      <c r="B99" s="546">
        <f>B32</f>
        <v>111</v>
      </c>
      <c r="C99" s="523"/>
      <c r="D99" s="523"/>
      <c r="E99" s="523"/>
      <c r="F99" s="523"/>
      <c r="G99" s="587"/>
      <c r="H99" s="587"/>
      <c r="I99" s="587"/>
      <c r="J99" s="587"/>
      <c r="K99" s="588"/>
      <c r="L99" s="589"/>
      <c r="M99" s="590"/>
      <c r="N99" s="1152"/>
      <c r="O99" s="1152"/>
      <c r="P99" s="2684"/>
      <c r="Q99" s="504"/>
    </row>
    <row r="100" spans="1:17" ht="14.5" thickBot="1">
      <c r="A100" s="2636"/>
      <c r="B100" s="569"/>
      <c r="C100" s="570"/>
      <c r="D100" s="570"/>
      <c r="E100" s="570"/>
      <c r="F100" s="570"/>
      <c r="G100" s="591"/>
      <c r="H100" s="591"/>
      <c r="I100" s="591"/>
      <c r="J100" s="591"/>
      <c r="K100" s="591"/>
      <c r="L100" s="591"/>
      <c r="M100" s="592"/>
      <c r="N100" s="1153"/>
      <c r="O100" s="1153"/>
      <c r="P100" s="2684"/>
      <c r="Q100" s="504"/>
    </row>
    <row r="101" spans="1:17">
      <c r="A101" s="527" t="s">
        <v>2557</v>
      </c>
      <c r="B101" s="528" t="s">
        <v>2606</v>
      </c>
      <c r="C101" s="530"/>
      <c r="D101" s="530"/>
      <c r="E101" s="530"/>
      <c r="F101" s="530"/>
      <c r="G101" s="530"/>
      <c r="H101" s="530"/>
      <c r="I101" s="530"/>
      <c r="J101" s="530"/>
      <c r="K101" s="531"/>
      <c r="L101" s="532"/>
      <c r="M101" s="533"/>
      <c r="N101" s="1152"/>
      <c r="O101" s="1152"/>
      <c r="P101" s="2684"/>
      <c r="Q101" s="504"/>
    </row>
    <row r="102" spans="1:17" ht="14.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3"/>
      <c r="O102" s="1153"/>
      <c r="P102" s="2684"/>
      <c r="Q102" s="504"/>
    </row>
    <row r="103" spans="1:17" ht="14.5" thickTop="1">
      <c r="A103" s="534"/>
      <c r="B103" s="538" t="s">
        <v>2607</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4.5" thickBot="1">
      <c r="A105" s="553"/>
      <c r="B105" s="543"/>
      <c r="C105" s="560"/>
      <c r="D105" s="536"/>
      <c r="E105" s="536"/>
      <c r="F105" s="536"/>
      <c r="G105" s="536"/>
      <c r="H105" s="536"/>
      <c r="I105" s="536"/>
      <c r="J105" s="536"/>
      <c r="K105" s="536"/>
      <c r="L105" s="536"/>
      <c r="M105" s="537"/>
      <c r="N105" s="1153"/>
      <c r="O105" s="1153"/>
      <c r="P105" s="2685"/>
      <c r="Q105" s="559"/>
    </row>
    <row r="106" spans="1:17" ht="14.5" thickTop="1">
      <c r="A106" s="599"/>
      <c r="B106" s="538" t="s">
        <v>2608</v>
      </c>
      <c r="C106" s="554"/>
      <c r="D106" s="554"/>
      <c r="E106" s="583"/>
      <c r="F106" s="583"/>
      <c r="G106" s="583"/>
      <c r="H106" s="583"/>
      <c r="I106" s="583"/>
      <c r="J106" s="583"/>
      <c r="K106" s="584"/>
      <c r="L106" s="585"/>
      <c r="M106" s="586"/>
      <c r="N106" s="1152"/>
      <c r="O106" s="1152"/>
      <c r="P106" s="2684"/>
      <c r="Q106" s="504"/>
    </row>
    <row r="107" spans="1:17" ht="14.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3"/>
      <c r="O107" s="1153"/>
      <c r="P107" s="2684"/>
      <c r="Q107" s="504"/>
    </row>
    <row r="108" spans="1:17" ht="14.5" thickTop="1">
      <c r="A108" s="599"/>
      <c r="B108" s="538" t="s">
        <v>2610</v>
      </c>
      <c r="C108" s="554"/>
      <c r="D108" s="554"/>
      <c r="E108" s="554"/>
      <c r="F108" s="583"/>
      <c r="G108" s="583"/>
      <c r="H108" s="583"/>
      <c r="I108" s="583"/>
      <c r="J108" s="583"/>
      <c r="K108" s="584"/>
      <c r="L108" s="585"/>
      <c r="M108" s="586"/>
      <c r="N108" s="1152"/>
      <c r="O108" s="1152"/>
      <c r="P108" s="2684"/>
      <c r="Q108" s="504"/>
    </row>
    <row r="109" spans="1:17" ht="14.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3"/>
      <c r="O109" s="1153"/>
      <c r="P109" s="2684"/>
      <c r="Q109" s="504"/>
    </row>
    <row r="110" spans="1:17" ht="14.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4.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3"/>
      <c r="O112" s="1153"/>
      <c r="P112" s="2684"/>
      <c r="Q112" s="504"/>
    </row>
    <row r="113" spans="1:17" s="471" customFormat="1" ht="14.5" thickTop="1">
      <c r="A113" s="593"/>
      <c r="B113" s="538" t="s">
        <v>2694</v>
      </c>
      <c r="C113" s="554"/>
      <c r="D113" s="554"/>
      <c r="E113" s="554"/>
      <c r="F113" s="554"/>
      <c r="G113" s="554"/>
      <c r="H113" s="583"/>
      <c r="I113" s="583"/>
      <c r="J113" s="583"/>
      <c r="K113" s="584"/>
      <c r="L113" s="585"/>
      <c r="M113" s="586"/>
      <c r="N113" s="1154"/>
      <c r="O113" s="1154"/>
      <c r="P113" s="2685"/>
      <c r="Q113" s="559"/>
    </row>
    <row r="114" spans="1:17" s="471" customFormat="1" ht="14.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4"/>
      <c r="O114" s="1154"/>
      <c r="P114" s="2685"/>
      <c r="Q114" s="559"/>
    </row>
    <row r="115" spans="1:17" ht="14.5" thickTop="1">
      <c r="A115" s="599"/>
      <c r="B115" s="538" t="s">
        <v>2611</v>
      </c>
      <c r="C115" s="554"/>
      <c r="D115" s="554"/>
      <c r="E115" s="583"/>
      <c r="F115" s="583"/>
      <c r="G115" s="583"/>
      <c r="H115" s="583"/>
      <c r="I115" s="583"/>
      <c r="J115" s="583"/>
      <c r="K115" s="584"/>
      <c r="L115" s="585"/>
      <c r="M115" s="586"/>
      <c r="N115" s="1152"/>
      <c r="O115" s="1152"/>
      <c r="P115" s="2684"/>
      <c r="Q115" s="504"/>
    </row>
    <row r="116" spans="1:17" ht="14.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3"/>
      <c r="O116" s="1153"/>
      <c r="P116" s="2684"/>
      <c r="Q116" s="504"/>
    </row>
    <row r="117" spans="1:17" ht="14.5" thickTop="1">
      <c r="A117" s="599"/>
      <c r="B117" s="538" t="s">
        <v>2612</v>
      </c>
      <c r="C117" s="554"/>
      <c r="D117" s="554"/>
      <c r="E117" s="554"/>
      <c r="F117" s="554"/>
      <c r="G117" s="554"/>
      <c r="H117" s="583"/>
      <c r="I117" s="583"/>
      <c r="J117" s="583"/>
      <c r="K117" s="584"/>
      <c r="L117" s="585"/>
      <c r="M117" s="586"/>
      <c r="N117" s="1152"/>
      <c r="O117" s="1152"/>
      <c r="P117" s="2684"/>
      <c r="Q117" s="504"/>
    </row>
    <row r="118" spans="1:17" ht="14.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4.5" thickTop="1">
      <c r="A119" s="599"/>
      <c r="B119" s="636" t="s">
        <v>2695</v>
      </c>
      <c r="C119" s="583"/>
      <c r="D119" s="583"/>
      <c r="E119" s="583"/>
      <c r="F119" s="583"/>
      <c r="G119" s="583"/>
      <c r="H119" s="583"/>
      <c r="I119" s="583"/>
      <c r="J119" s="583"/>
      <c r="K119" s="583"/>
      <c r="L119" s="2689"/>
      <c r="M119" s="2690"/>
      <c r="N119" s="1153"/>
      <c r="O119" s="1153"/>
      <c r="P119" s="2691"/>
      <c r="Q119" s="638"/>
    </row>
    <row r="120" spans="1:17" ht="14.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3"/>
      <c r="O120" s="1153"/>
      <c r="P120" s="2684"/>
      <c r="Q120" s="504"/>
    </row>
    <row r="121" spans="1:17" s="471" customFormat="1" ht="14.5" thickTop="1">
      <c r="A121" s="593"/>
      <c r="B121" s="538" t="s">
        <v>2678</v>
      </c>
      <c r="C121" s="554"/>
      <c r="D121" s="554"/>
      <c r="E121" s="554"/>
      <c r="F121" s="583"/>
      <c r="G121" s="555"/>
      <c r="H121" s="555"/>
      <c r="I121" s="555"/>
      <c r="J121" s="555"/>
      <c r="K121" s="555"/>
      <c r="L121" s="556"/>
      <c r="M121" s="557"/>
      <c r="N121" s="1154"/>
      <c r="O121" s="1154"/>
      <c r="P121" s="2685"/>
      <c r="Q121" s="559"/>
    </row>
    <row r="122" spans="1:17" s="471" customFormat="1" ht="14.5" thickBot="1">
      <c r="A122" s="553"/>
      <c r="B122" s="535"/>
      <c r="C122" s="560"/>
      <c r="D122" s="560"/>
      <c r="E122" s="560"/>
      <c r="F122" s="560"/>
      <c r="G122" s="560"/>
      <c r="H122" s="560"/>
      <c r="I122" s="560"/>
      <c r="J122" s="560"/>
      <c r="K122" s="560"/>
      <c r="L122" s="560"/>
      <c r="M122" s="560"/>
      <c r="N122" s="1154"/>
      <c r="O122" s="1154"/>
      <c r="P122" s="2685"/>
      <c r="Q122" s="559"/>
    </row>
    <row r="123" spans="1:17" ht="14.5" thickTop="1">
      <c r="A123" s="599"/>
      <c r="B123" s="538" t="s">
        <v>2614</v>
      </c>
      <c r="C123" s="554"/>
      <c r="D123" s="554"/>
      <c r="E123" s="554"/>
      <c r="F123" s="583"/>
      <c r="G123" s="583"/>
      <c r="H123" s="583"/>
      <c r="I123" s="583"/>
      <c r="J123" s="583"/>
      <c r="K123" s="584"/>
      <c r="L123" s="585"/>
      <c r="M123" s="586"/>
      <c r="N123" s="1152"/>
      <c r="O123" s="1152"/>
      <c r="P123" s="2684"/>
      <c r="Q123" s="504"/>
    </row>
    <row r="124" spans="1:17" ht="14.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3"/>
      <c r="O124" s="1153"/>
      <c r="P124" s="2684"/>
      <c r="Q124" s="504"/>
    </row>
    <row r="125" spans="1:17" ht="28.5" thickTop="1">
      <c r="A125" s="599"/>
      <c r="B125" s="538" t="s">
        <v>2615</v>
      </c>
      <c r="C125" s="578" t="s">
        <v>2591</v>
      </c>
      <c r="D125" s="578" t="s">
        <v>2592</v>
      </c>
      <c r="E125" s="578" t="s">
        <v>2593</v>
      </c>
      <c r="F125" s="578" t="s">
        <v>2594</v>
      </c>
      <c r="G125" s="578" t="s">
        <v>2595</v>
      </c>
      <c r="H125" s="539"/>
      <c r="I125" s="539"/>
      <c r="J125" s="539"/>
      <c r="K125" s="540"/>
      <c r="L125" s="541"/>
      <c r="M125" s="542"/>
      <c r="N125" s="1152"/>
      <c r="O125" s="1152"/>
      <c r="P125" s="2685"/>
      <c r="Q125" s="504"/>
    </row>
    <row r="126" spans="1:17" ht="14.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4.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4.5" thickBot="1">
      <c r="A128" s="553"/>
      <c r="B128" s="543"/>
      <c r="C128" s="560"/>
      <c r="D128" s="536"/>
      <c r="E128" s="536"/>
      <c r="F128" s="536"/>
      <c r="G128" s="560"/>
      <c r="H128" s="562"/>
      <c r="I128" s="562"/>
      <c r="J128" s="562"/>
      <c r="K128" s="562"/>
      <c r="L128" s="562"/>
      <c r="M128" s="563"/>
      <c r="N128" s="1154"/>
      <c r="O128" s="1154"/>
      <c r="P128" s="2685"/>
      <c r="Q128" s="559"/>
    </row>
    <row r="129" spans="1:17" ht="14.5" thickTop="1">
      <c r="A129" s="599"/>
      <c r="B129" s="538">
        <f>B46</f>
        <v>111</v>
      </c>
      <c r="C129" s="554"/>
      <c r="D129" s="554"/>
      <c r="E129" s="554"/>
      <c r="F129" s="554"/>
      <c r="G129" s="583"/>
      <c r="H129" s="583"/>
      <c r="I129" s="583"/>
      <c r="J129" s="583"/>
      <c r="K129" s="584"/>
      <c r="L129" s="585"/>
      <c r="M129" s="586"/>
      <c r="N129" s="1152"/>
      <c r="O129" s="1152"/>
      <c r="P129" s="2684"/>
      <c r="Q129" s="504"/>
    </row>
    <row r="130" spans="1:17" ht="14.5" thickBot="1">
      <c r="A130" s="534"/>
      <c r="B130" s="543"/>
      <c r="C130" s="560"/>
      <c r="D130" s="560"/>
      <c r="E130" s="560"/>
      <c r="F130" s="560"/>
      <c r="G130" s="536"/>
      <c r="H130" s="536"/>
      <c r="I130" s="536"/>
      <c r="J130" s="536"/>
      <c r="K130" s="536"/>
      <c r="L130" s="536"/>
      <c r="M130" s="537"/>
      <c r="N130" s="1153"/>
      <c r="O130" s="1153"/>
      <c r="P130" s="2684"/>
      <c r="Q130" s="504"/>
    </row>
    <row r="131" spans="1:17" ht="14.5" thickTop="1">
      <c r="A131" s="599"/>
      <c r="B131" s="546">
        <f>B47</f>
        <v>111</v>
      </c>
      <c r="C131" s="523"/>
      <c r="D131" s="523"/>
      <c r="E131" s="523"/>
      <c r="F131" s="523"/>
      <c r="G131" s="587"/>
      <c r="H131" s="587"/>
      <c r="I131" s="587"/>
      <c r="J131" s="587"/>
      <c r="K131" s="523"/>
      <c r="L131" s="524"/>
      <c r="M131" s="590"/>
      <c r="N131" s="1152"/>
      <c r="O131" s="1152"/>
      <c r="P131" s="2684"/>
      <c r="Q131" s="504"/>
    </row>
    <row r="132" spans="1:17" ht="14.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zoomScale="90" zoomScaleNormal="90" workbookViewId="0">
      <selection activeCell="E3" sqref="E3"/>
    </sheetView>
  </sheetViews>
  <sheetFormatPr defaultColWidth="9" defaultRowHeight="14"/>
  <cols>
    <col min="1" max="1" width="10.453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8" customFormat="1" ht="28.5" customHeight="1" thickBot="1">
      <c r="A1" s="1617" t="s">
        <v>2522</v>
      </c>
      <c r="B1" s="2669" t="s">
        <v>2696</v>
      </c>
      <c r="C1" s="1619" t="s">
        <v>2524</v>
      </c>
      <c r="D1" s="1620"/>
      <c r="E1" s="1629"/>
      <c r="F1" s="2584"/>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8" t="e">
        <f ca="1">IF(C2="——",ROUND(C43*D3/10000,0),ROUND(C43*D3/10000,0)-D2)</f>
        <v>#DIV/0!</v>
      </c>
      <c r="C2" s="2586"/>
      <c r="D2" s="1124" t="e">
        <f ca="1">SUMIF(INDIRECT("'"&amp;F2&amp;"'"&amp;"!A:A"),"承租人权益价值",INDIRECT("'"&amp;F2&amp;"'"&amp;"!c:c"))</f>
        <v>#REF!</v>
      </c>
      <c r="E2" s="2587" t="s">
        <v>2325</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2638</v>
      </c>
      <c r="D3" s="399">
        <f>IF(D1="",'数据-汇总表'!E3,SUMIF('数据-汇总表'!$C19:$C33,D1,'数据-汇总表'!$E19:$E33))</f>
        <v>127439.59000000001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2639</v>
      </c>
      <c r="B4" s="402"/>
      <c r="C4" s="3174" t="s">
        <v>2640</v>
      </c>
      <c r="D4" s="3187"/>
      <c r="E4" s="3188" t="s">
        <v>2641</v>
      </c>
      <c r="F4" s="3189"/>
      <c r="G4" s="3174" t="s">
        <v>2642</v>
      </c>
      <c r="H4" s="3187"/>
      <c r="I4" s="3174" t="s">
        <v>2643</v>
      </c>
      <c r="J4" s="3187"/>
      <c r="K4" s="610" t="s">
        <v>2644</v>
      </c>
      <c r="L4" s="1130"/>
      <c r="M4" s="1131"/>
      <c r="N4" s="1131"/>
      <c r="O4" s="1131"/>
      <c r="P4" s="3190" t="s">
        <v>2645</v>
      </c>
      <c r="Q4" s="3191"/>
      <c r="R4" s="3196" t="s">
        <v>2641</v>
      </c>
      <c r="S4" s="3197"/>
      <c r="T4" s="3196" t="s">
        <v>2642</v>
      </c>
      <c r="U4" s="3197"/>
      <c r="V4" s="3183" t="s">
        <v>2643</v>
      </c>
      <c r="W4" s="3183"/>
      <c r="X4" s="1812"/>
      <c r="Y4" s="3196" t="s">
        <v>2645</v>
      </c>
      <c r="Z4" s="3197"/>
      <c r="AA4" s="3184" t="s">
        <v>2641</v>
      </c>
      <c r="AB4" s="3185" t="s">
        <v>2642</v>
      </c>
      <c r="AC4" s="3184" t="s">
        <v>2643</v>
      </c>
    </row>
    <row r="5" spans="1:29">
      <c r="A5" s="404"/>
      <c r="B5" s="405"/>
      <c r="C5" s="3204" t="s">
        <v>2536</v>
      </c>
      <c r="D5" s="3205"/>
      <c r="E5" s="3211" t="s">
        <v>2537</v>
      </c>
      <c r="F5" s="3212"/>
      <c r="G5" s="3204" t="s">
        <v>2538</v>
      </c>
      <c r="H5" s="3205"/>
      <c r="I5" s="3204" t="s">
        <v>2539</v>
      </c>
      <c r="J5" s="3205"/>
      <c r="K5" s="610"/>
      <c r="L5" s="1130"/>
      <c r="M5" s="1131"/>
      <c r="N5" s="1131"/>
      <c r="O5" s="1131"/>
      <c r="P5" s="3192"/>
      <c r="Q5" s="3193"/>
      <c r="R5" s="3198"/>
      <c r="S5" s="3199"/>
      <c r="T5" s="3198"/>
      <c r="U5" s="3199"/>
      <c r="V5" s="3183"/>
      <c r="W5" s="3183"/>
      <c r="X5" s="1812"/>
      <c r="Y5" s="3198"/>
      <c r="Z5" s="3199"/>
      <c r="AA5" s="3185"/>
      <c r="AB5" s="3185"/>
      <c r="AC5" s="3185"/>
    </row>
    <row r="6" spans="1:29" ht="15" thickBot="1">
      <c r="A6" s="406"/>
      <c r="B6" s="407"/>
      <c r="C6" s="3202" t="s">
        <v>2540</v>
      </c>
      <c r="D6" s="3203"/>
      <c r="E6" s="3209" t="s">
        <v>2540</v>
      </c>
      <c r="F6" s="3210"/>
      <c r="G6" s="3202" t="s">
        <v>2540</v>
      </c>
      <c r="H6" s="3203"/>
      <c r="I6" s="3202" t="s">
        <v>2540</v>
      </c>
      <c r="J6" s="3203"/>
      <c r="K6" s="610" t="s">
        <v>2541</v>
      </c>
      <c r="L6" s="1130"/>
      <c r="M6" s="1131"/>
      <c r="N6" s="1131"/>
      <c r="O6" s="1131"/>
      <c r="P6" s="3194"/>
      <c r="Q6" s="3195"/>
      <c r="R6" s="3198"/>
      <c r="S6" s="3199"/>
      <c r="T6" s="3200"/>
      <c r="U6" s="3201"/>
      <c r="V6" s="3183"/>
      <c r="W6" s="3183"/>
      <c r="X6" s="1812"/>
      <c r="Y6" s="3200"/>
      <c r="Z6" s="3201"/>
      <c r="AA6" s="3186"/>
      <c r="AB6" s="3186"/>
      <c r="AC6" s="3186"/>
    </row>
    <row r="7" spans="1:29" s="117" customFormat="1" ht="14.5" thickBot="1">
      <c r="A7" s="408" t="s">
        <v>2542</v>
      </c>
      <c r="B7" s="409"/>
      <c r="C7" s="410">
        <f>'数据-取费表'!B2</f>
        <v>43879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6" t="s">
        <v>2543</v>
      </c>
      <c r="Q7" s="3208"/>
      <c r="R7" s="770" t="s">
        <v>17</v>
      </c>
      <c r="S7" s="771">
        <f t="shared" ref="S7:S15" si="0">F7</f>
        <v>0</v>
      </c>
      <c r="T7" s="770" t="s">
        <v>17</v>
      </c>
      <c r="U7" s="771">
        <f t="shared" ref="U7:U15" si="1">H7</f>
        <v>0</v>
      </c>
      <c r="V7" s="770" t="s">
        <v>17</v>
      </c>
      <c r="W7" s="771">
        <f t="shared" ref="W7:W15" si="2">J7</f>
        <v>0</v>
      </c>
      <c r="X7" s="772"/>
      <c r="Y7" s="3206" t="s">
        <v>2543</v>
      </c>
      <c r="Z7" s="3207"/>
      <c r="AA7" s="773" t="e">
        <f>D7/F7</f>
        <v>#DIV/0!</v>
      </c>
      <c r="AB7" s="773" t="e">
        <f>D7/H7</f>
        <v>#DIV/0!</v>
      </c>
      <c r="AC7" s="773" t="e">
        <f>D7/J7</f>
        <v>#DIV/0!</v>
      </c>
    </row>
    <row r="8" spans="1:29" s="117" customFormat="1" ht="14.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6" t="s">
        <v>2546</v>
      </c>
      <c r="Q8" s="3207"/>
      <c r="R8" s="770" t="s">
        <v>17</v>
      </c>
      <c r="S8" s="771">
        <f t="shared" si="0"/>
        <v>0</v>
      </c>
      <c r="T8" s="770" t="s">
        <v>17</v>
      </c>
      <c r="U8" s="771">
        <f t="shared" si="1"/>
        <v>0</v>
      </c>
      <c r="V8" s="770" t="s">
        <v>17</v>
      </c>
      <c r="W8" s="771">
        <f t="shared" si="2"/>
        <v>0</v>
      </c>
      <c r="X8" s="772"/>
      <c r="Y8" s="3206" t="s">
        <v>2546</v>
      </c>
      <c r="Z8" s="3207"/>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7" t="s">
        <v>2549</v>
      </c>
      <c r="Q9" s="1794" t="str">
        <f t="shared" ref="Q9:Q15" si="6">B9</f>
        <v>用途</v>
      </c>
      <c r="R9" s="770" t="s">
        <v>17</v>
      </c>
      <c r="S9" s="771">
        <f t="shared" si="0"/>
        <v>100</v>
      </c>
      <c r="T9" s="770" t="s">
        <v>17</v>
      </c>
      <c r="U9" s="771">
        <f t="shared" si="1"/>
        <v>100</v>
      </c>
      <c r="V9" s="770" t="s">
        <v>17</v>
      </c>
      <c r="W9" s="771">
        <f t="shared" si="2"/>
        <v>100</v>
      </c>
      <c r="X9" s="772"/>
      <c r="Y9" s="3024" t="s">
        <v>2550</v>
      </c>
      <c r="Z9" s="55" t="str">
        <f t="shared" ref="Z9:Z15" si="7">Q9</f>
        <v>用途</v>
      </c>
      <c r="AA9" s="773">
        <f t="shared" si="3"/>
        <v>1</v>
      </c>
      <c r="AB9" s="773">
        <f t="shared" si="4"/>
        <v>1</v>
      </c>
      <c r="AC9" s="773">
        <f t="shared" si="5"/>
        <v>1</v>
      </c>
    </row>
    <row r="10" spans="1:29" s="427" customFormat="1" ht="28">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7"/>
      <c r="Q10" s="1794"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7"/>
      <c r="Q11" s="1794"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77"/>
      <c r="Q12" s="1794">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77"/>
      <c r="Q13" s="1794">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6"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77"/>
      <c r="Q14" s="1794">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70">
      <c r="A15" s="440" t="s">
        <v>2553</v>
      </c>
      <c r="B15" s="69" t="s">
        <v>2697</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9" t="s">
        <v>2554</v>
      </c>
      <c r="Q15" s="1809" t="str">
        <f t="shared" si="6"/>
        <v>产业集聚程度</v>
      </c>
      <c r="R15" s="774" t="s">
        <v>17</v>
      </c>
      <c r="S15" s="775">
        <f t="shared" si="0"/>
        <v>100</v>
      </c>
      <c r="T15" s="774" t="s">
        <v>17</v>
      </c>
      <c r="U15" s="775">
        <f t="shared" si="1"/>
        <v>100</v>
      </c>
      <c r="V15" s="774" t="s">
        <v>17</v>
      </c>
      <c r="W15" s="775">
        <f t="shared" si="2"/>
        <v>100</v>
      </c>
      <c r="X15" s="1812"/>
      <c r="Y15" s="3179" t="s">
        <v>2554</v>
      </c>
      <c r="Z15" s="1813" t="str">
        <f t="shared" si="7"/>
        <v>产业集聚程度</v>
      </c>
      <c r="AA15" s="1810">
        <f t="shared" si="3"/>
        <v>1</v>
      </c>
      <c r="AB15" s="1810">
        <f t="shared" si="4"/>
        <v>1</v>
      </c>
      <c r="AC15" s="1810">
        <f t="shared" si="5"/>
        <v>1</v>
      </c>
    </row>
    <row r="16" spans="1:29" ht="15.5">
      <c r="A16" s="428"/>
      <c r="B16" s="446"/>
      <c r="C16" s="447"/>
      <c r="D16" s="448"/>
      <c r="E16" s="447"/>
      <c r="F16" s="449"/>
      <c r="G16" s="447"/>
      <c r="H16" s="450"/>
      <c r="I16" s="447"/>
      <c r="J16" s="448"/>
      <c r="K16" s="615"/>
      <c r="L16" s="1140"/>
      <c r="M16" s="1131"/>
      <c r="N16" s="1131"/>
      <c r="O16" s="1139"/>
      <c r="P16" s="3180"/>
      <c r="Q16" s="1809"/>
      <c r="R16" s="774"/>
      <c r="S16" s="775"/>
      <c r="T16" s="774"/>
      <c r="U16" s="775"/>
      <c r="V16" s="774"/>
      <c r="W16" s="775"/>
      <c r="X16" s="1812"/>
      <c r="Y16" s="3180"/>
      <c r="Z16" s="1813"/>
      <c r="AA16" s="1810">
        <v>1</v>
      </c>
      <c r="AB16" s="1810">
        <v>1</v>
      </c>
      <c r="AC16" s="1810">
        <v>1</v>
      </c>
    </row>
    <row r="17" spans="1:29" ht="98">
      <c r="A17" s="428"/>
      <c r="B17" s="451" t="s">
        <v>2094</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0"/>
      <c r="Q17" s="1809" t="str">
        <f>B17</f>
        <v>交通便捷度</v>
      </c>
      <c r="R17" s="774" t="s">
        <v>17</v>
      </c>
      <c r="S17" s="775">
        <f>F17</f>
        <v>100</v>
      </c>
      <c r="T17" s="774" t="s">
        <v>17</v>
      </c>
      <c r="U17" s="775">
        <f>H17</f>
        <v>100</v>
      </c>
      <c r="V17" s="774" t="s">
        <v>17</v>
      </c>
      <c r="W17" s="775">
        <f>J17</f>
        <v>100</v>
      </c>
      <c r="X17" s="1812"/>
      <c r="Y17" s="3180"/>
      <c r="Z17" s="1813" t="str">
        <f>Q17</f>
        <v>交通便捷度</v>
      </c>
      <c r="AA17" s="1810">
        <f t="shared" si="3"/>
        <v>1</v>
      </c>
      <c r="AB17" s="1810">
        <f t="shared" si="4"/>
        <v>1</v>
      </c>
      <c r="AC17" s="1810">
        <f t="shared" si="5"/>
        <v>1</v>
      </c>
    </row>
    <row r="18" spans="1:29" ht="15.5">
      <c r="A18" s="428"/>
      <c r="B18" s="456"/>
      <c r="C18" s="2608"/>
      <c r="D18" s="450"/>
      <c r="E18" s="2610"/>
      <c r="F18" s="453"/>
      <c r="G18" s="2609"/>
      <c r="H18" s="448"/>
      <c r="I18" s="2610"/>
      <c r="J18" s="448"/>
      <c r="K18" s="615"/>
      <c r="L18" s="1140"/>
      <c r="M18" s="1131"/>
      <c r="N18" s="1131"/>
      <c r="O18" s="1139"/>
      <c r="P18" s="3180"/>
      <c r="Q18" s="1809"/>
      <c r="R18" s="774"/>
      <c r="S18" s="775"/>
      <c r="T18" s="774"/>
      <c r="U18" s="775"/>
      <c r="V18" s="774"/>
      <c r="W18" s="775"/>
      <c r="X18" s="1812"/>
      <c r="Y18" s="3180"/>
      <c r="Z18" s="1813"/>
      <c r="AA18" s="1810">
        <v>1</v>
      </c>
      <c r="AB18" s="1810">
        <v>1</v>
      </c>
      <c r="AC18" s="1810">
        <v>1</v>
      </c>
    </row>
    <row r="19" spans="1:29" ht="42">
      <c r="A19" s="428"/>
      <c r="B19" s="451" t="s">
        <v>2682</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0"/>
      <c r="Q19" s="1809" t="str">
        <f>B19</f>
        <v>公共配套设施</v>
      </c>
      <c r="R19" s="774" t="s">
        <v>17</v>
      </c>
      <c r="S19" s="775">
        <f>F19</f>
        <v>100</v>
      </c>
      <c r="T19" s="774" t="s">
        <v>17</v>
      </c>
      <c r="U19" s="775">
        <f>H19</f>
        <v>100</v>
      </c>
      <c r="V19" s="774" t="s">
        <v>17</v>
      </c>
      <c r="W19" s="775">
        <f>J19</f>
        <v>100</v>
      </c>
      <c r="X19" s="1812"/>
      <c r="Y19" s="3180"/>
      <c r="Z19" s="1813" t="str">
        <f>Q19</f>
        <v>公共配套设施</v>
      </c>
      <c r="AA19" s="1810">
        <f t="shared" si="3"/>
        <v>1</v>
      </c>
      <c r="AB19" s="1810">
        <f t="shared" si="4"/>
        <v>1</v>
      </c>
      <c r="AC19" s="1810">
        <f t="shared" si="5"/>
        <v>1</v>
      </c>
    </row>
    <row r="20" spans="1:29" ht="15.5">
      <c r="A20" s="428"/>
      <c r="B20" s="456"/>
      <c r="C20" s="447"/>
      <c r="D20" s="448"/>
      <c r="E20" s="2605"/>
      <c r="F20" s="449"/>
      <c r="G20" s="2604"/>
      <c r="H20" s="448"/>
      <c r="I20" s="2605"/>
      <c r="J20" s="448"/>
      <c r="K20" s="615"/>
      <c r="L20" s="1140"/>
      <c r="M20" s="1131"/>
      <c r="N20" s="1131"/>
      <c r="O20" s="1139"/>
      <c r="P20" s="3180"/>
      <c r="Q20" s="1809"/>
      <c r="R20" s="774"/>
      <c r="S20" s="775"/>
      <c r="T20" s="774"/>
      <c r="U20" s="775"/>
      <c r="V20" s="774"/>
      <c r="W20" s="775"/>
      <c r="X20" s="1812"/>
      <c r="Y20" s="3180"/>
      <c r="Z20" s="1813"/>
      <c r="AA20" s="1810">
        <v>1</v>
      </c>
      <c r="AB20" s="1810">
        <v>1</v>
      </c>
      <c r="AC20" s="1810">
        <v>1</v>
      </c>
    </row>
    <row r="21" spans="1:29" ht="42">
      <c r="A21" s="428"/>
      <c r="B21" s="1384" t="s">
        <v>2683</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0"/>
      <c r="Q21" s="1809" t="str">
        <f>B21</f>
        <v>基础设施水平</v>
      </c>
      <c r="R21" s="774" t="s">
        <v>17</v>
      </c>
      <c r="S21" s="775">
        <f>F21</f>
        <v>100</v>
      </c>
      <c r="T21" s="774" t="s">
        <v>17</v>
      </c>
      <c r="U21" s="775">
        <f>H21</f>
        <v>100</v>
      </c>
      <c r="V21" s="774" t="s">
        <v>17</v>
      </c>
      <c r="W21" s="775">
        <f>J21</f>
        <v>100</v>
      </c>
      <c r="X21" s="1812"/>
      <c r="Y21" s="3180"/>
      <c r="Z21" s="1813" t="str">
        <f>Q21</f>
        <v>基础设施水平</v>
      </c>
      <c r="AA21" s="1810">
        <f>D21/F21</f>
        <v>1</v>
      </c>
      <c r="AB21" s="1810">
        <f>D21/H21</f>
        <v>1</v>
      </c>
      <c r="AC21" s="1810">
        <f>D21/J21</f>
        <v>1</v>
      </c>
    </row>
    <row r="22" spans="1:29" ht="15.5">
      <c r="A22" s="428"/>
      <c r="B22" s="1384"/>
      <c r="C22" s="2608"/>
      <c r="D22" s="448"/>
      <c r="E22" s="447"/>
      <c r="F22" s="449"/>
      <c r="G22" s="447"/>
      <c r="H22" s="448"/>
      <c r="I22" s="447"/>
      <c r="J22" s="448"/>
      <c r="K22" s="1383"/>
      <c r="L22" s="1140"/>
      <c r="M22" s="1131"/>
      <c r="N22" s="1131"/>
      <c r="O22" s="1139"/>
      <c r="P22" s="3180"/>
      <c r="Q22" s="1809"/>
      <c r="R22" s="774"/>
      <c r="S22" s="775"/>
      <c r="T22" s="774"/>
      <c r="U22" s="775"/>
      <c r="V22" s="774"/>
      <c r="W22" s="775"/>
      <c r="X22" s="1812"/>
      <c r="Y22" s="3180"/>
      <c r="Z22" s="1813"/>
      <c r="AA22" s="1810">
        <v>1</v>
      </c>
      <c r="AB22" s="1810">
        <v>1</v>
      </c>
      <c r="AC22" s="1810">
        <v>1</v>
      </c>
    </row>
    <row r="23" spans="1:29" ht="84">
      <c r="A23" s="428"/>
      <c r="B23" s="451" t="s">
        <v>2684</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0"/>
      <c r="Q23" s="1809" t="str">
        <f>B23</f>
        <v>环境质量</v>
      </c>
      <c r="R23" s="774" t="s">
        <v>17</v>
      </c>
      <c r="S23" s="775">
        <f>F23</f>
        <v>100</v>
      </c>
      <c r="T23" s="774" t="s">
        <v>17</v>
      </c>
      <c r="U23" s="775">
        <f>H23</f>
        <v>100</v>
      </c>
      <c r="V23" s="774" t="s">
        <v>17</v>
      </c>
      <c r="W23" s="775">
        <f>J23</f>
        <v>100</v>
      </c>
      <c r="X23" s="1812"/>
      <c r="Y23" s="3180"/>
      <c r="Z23" s="1813" t="str">
        <f>Q23</f>
        <v>环境质量</v>
      </c>
      <c r="AA23" s="1810">
        <f t="shared" si="3"/>
        <v>1</v>
      </c>
      <c r="AB23" s="1810">
        <f t="shared" si="4"/>
        <v>1</v>
      </c>
      <c r="AC23" s="1810">
        <f t="shared" si="5"/>
        <v>1</v>
      </c>
    </row>
    <row r="24" spans="1:29" ht="15.5">
      <c r="A24" s="428"/>
      <c r="B24" s="1384"/>
      <c r="C24" s="447"/>
      <c r="D24" s="448"/>
      <c r="E24" s="2605"/>
      <c r="F24" s="449"/>
      <c r="G24" s="2604"/>
      <c r="H24" s="448"/>
      <c r="I24" s="2605"/>
      <c r="J24" s="448"/>
      <c r="K24" s="615"/>
      <c r="L24" s="1140"/>
      <c r="M24" s="1131"/>
      <c r="N24" s="1131"/>
      <c r="O24" s="1139"/>
      <c r="P24" s="3180"/>
      <c r="Q24" s="1809"/>
      <c r="R24" s="774"/>
      <c r="S24" s="775"/>
      <c r="T24" s="774"/>
      <c r="U24" s="775"/>
      <c r="V24" s="774"/>
      <c r="W24" s="775"/>
      <c r="X24" s="1812"/>
      <c r="Y24" s="3180"/>
      <c r="Z24" s="1813"/>
      <c r="AA24" s="1810">
        <v>1</v>
      </c>
      <c r="AB24" s="1810">
        <v>1</v>
      </c>
      <c r="AC24" s="1810">
        <v>1</v>
      </c>
    </row>
    <row r="25" spans="1:29" ht="15.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0"/>
      <c r="Q25" s="1809">
        <f>B25</f>
        <v>111</v>
      </c>
      <c r="R25" s="774" t="s">
        <v>17</v>
      </c>
      <c r="S25" s="775">
        <f>F25</f>
        <v>100</v>
      </c>
      <c r="T25" s="774" t="s">
        <v>17</v>
      </c>
      <c r="U25" s="775">
        <f>H25</f>
        <v>100</v>
      </c>
      <c r="V25" s="774" t="s">
        <v>17</v>
      </c>
      <c r="W25" s="775">
        <f>J25</f>
        <v>100</v>
      </c>
      <c r="X25" s="1812"/>
      <c r="Y25" s="3180"/>
      <c r="Z25" s="1813">
        <f>Q25</f>
        <v>111</v>
      </c>
      <c r="AA25" s="1810">
        <f t="shared" si="3"/>
        <v>1</v>
      </c>
      <c r="AB25" s="1810">
        <f t="shared" si="4"/>
        <v>1</v>
      </c>
      <c r="AC25" s="1810">
        <f t="shared" si="5"/>
        <v>1</v>
      </c>
    </row>
    <row r="26" spans="1:29" ht="15.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0"/>
      <c r="Q26" s="1809">
        <f t="shared" ref="Q26:Q40" si="8">B26</f>
        <v>111</v>
      </c>
      <c r="R26" s="774" t="s">
        <v>17</v>
      </c>
      <c r="S26" s="775">
        <f>F26</f>
        <v>100</v>
      </c>
      <c r="T26" s="774" t="s">
        <v>17</v>
      </c>
      <c r="U26" s="775">
        <f>H26</f>
        <v>100</v>
      </c>
      <c r="V26" s="774" t="s">
        <v>17</v>
      </c>
      <c r="W26" s="775">
        <f>J26</f>
        <v>100</v>
      </c>
      <c r="X26" s="1812"/>
      <c r="Y26" s="3180"/>
      <c r="Z26" s="1813">
        <f>Q26</f>
        <v>111</v>
      </c>
      <c r="AA26" s="1810">
        <f t="shared" si="3"/>
        <v>1</v>
      </c>
      <c r="AB26" s="1810">
        <f t="shared" si="4"/>
        <v>1</v>
      </c>
      <c r="AC26" s="1810">
        <f t="shared" si="5"/>
        <v>1</v>
      </c>
    </row>
    <row r="27" spans="1:29" s="117" customFormat="1" ht="15.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0"/>
      <c r="Q27" s="1794">
        <f t="shared" si="8"/>
        <v>111</v>
      </c>
      <c r="R27" s="770" t="s">
        <v>17</v>
      </c>
      <c r="S27" s="771">
        <f>F27</f>
        <v>100</v>
      </c>
      <c r="T27" s="770" t="s">
        <v>17</v>
      </c>
      <c r="U27" s="771">
        <f>H27</f>
        <v>100</v>
      </c>
      <c r="V27" s="770" t="s">
        <v>17</v>
      </c>
      <c r="W27" s="771">
        <f>J27</f>
        <v>100</v>
      </c>
      <c r="X27" s="772"/>
      <c r="Y27" s="3180"/>
      <c r="Z27" s="55">
        <f>Q27</f>
        <v>111</v>
      </c>
      <c r="AA27" s="1810">
        <f>D27/F27</f>
        <v>1</v>
      </c>
      <c r="AB27" s="1810">
        <f>D27/H27</f>
        <v>1</v>
      </c>
      <c r="AC27" s="1810">
        <f>D27/J27</f>
        <v>1</v>
      </c>
    </row>
    <row r="28" spans="1:29" ht="1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0"/>
      <c r="Q28" s="1809">
        <f t="shared" si="8"/>
        <v>111</v>
      </c>
      <c r="R28" s="774" t="s">
        <v>17</v>
      </c>
      <c r="S28" s="775">
        <f t="shared" ref="S28:S40" si="9">F28</f>
        <v>100</v>
      </c>
      <c r="T28" s="774" t="s">
        <v>17</v>
      </c>
      <c r="U28" s="775">
        <f t="shared" ref="U28:U40" si="10">H28</f>
        <v>100</v>
      </c>
      <c r="V28" s="774" t="s">
        <v>17</v>
      </c>
      <c r="W28" s="775">
        <f t="shared" ref="W28:W40" si="11">J28</f>
        <v>100</v>
      </c>
      <c r="X28" s="1812"/>
      <c r="Y28" s="3180"/>
      <c r="Z28" s="1813">
        <f t="shared" ref="Z28:Z40" si="12">Q28</f>
        <v>111</v>
      </c>
      <c r="AA28" s="1810">
        <f t="shared" si="3"/>
        <v>1</v>
      </c>
      <c r="AB28" s="1810">
        <f t="shared" si="4"/>
        <v>1</v>
      </c>
      <c r="AC28" s="1810">
        <f t="shared" si="5"/>
        <v>1</v>
      </c>
    </row>
    <row r="29" spans="1:29" ht="29">
      <c r="A29" s="466" t="s">
        <v>2557</v>
      </c>
      <c r="B29" s="71" t="s">
        <v>2687</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181" t="s">
        <v>2559</v>
      </c>
      <c r="Q29" s="1809" t="str">
        <f t="shared" si="8"/>
        <v>建筑类型</v>
      </c>
      <c r="R29" s="774" t="s">
        <v>17</v>
      </c>
      <c r="S29" s="775">
        <f t="shared" si="9"/>
        <v>100</v>
      </c>
      <c r="T29" s="774" t="s">
        <v>17</v>
      </c>
      <c r="U29" s="775">
        <f t="shared" si="10"/>
        <v>100</v>
      </c>
      <c r="V29" s="774" t="s">
        <v>17</v>
      </c>
      <c r="W29" s="775">
        <f t="shared" si="11"/>
        <v>100</v>
      </c>
      <c r="X29" s="1812"/>
      <c r="Y29" s="3182" t="s">
        <v>2559</v>
      </c>
      <c r="Z29" s="1813" t="str">
        <f t="shared" si="12"/>
        <v>建筑类型</v>
      </c>
      <c r="AA29" s="1810">
        <f t="shared" si="3"/>
        <v>1</v>
      </c>
      <c r="AB29" s="1810">
        <f t="shared" si="4"/>
        <v>1</v>
      </c>
      <c r="AC29" s="1810">
        <f t="shared" si="5"/>
        <v>1</v>
      </c>
    </row>
    <row r="30" spans="1:29" s="471" customFormat="1" ht="15.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2"/>
      <c r="Q30" s="776" t="str">
        <f t="shared" si="8"/>
        <v>项目建筑规模</v>
      </c>
      <c r="R30" s="777" t="s">
        <v>17</v>
      </c>
      <c r="S30" s="778" t="e">
        <f t="shared" si="9"/>
        <v>#N/A</v>
      </c>
      <c r="T30" s="777" t="s">
        <v>17</v>
      </c>
      <c r="U30" s="778" t="e">
        <f t="shared" si="10"/>
        <v>#N/A</v>
      </c>
      <c r="V30" s="777" t="s">
        <v>17</v>
      </c>
      <c r="W30" s="778" t="e">
        <f t="shared" si="11"/>
        <v>#N/A</v>
      </c>
      <c r="X30" s="779"/>
      <c r="Y30" s="3182"/>
      <c r="Z30" s="780" t="str">
        <f t="shared" si="12"/>
        <v>项目建筑规模</v>
      </c>
      <c r="AA30" s="1810" t="e">
        <f t="shared" si="3"/>
        <v>#N/A</v>
      </c>
      <c r="AB30" s="1810" t="e">
        <f t="shared" si="4"/>
        <v>#N/A</v>
      </c>
      <c r="AC30" s="1810" t="e">
        <f t="shared" si="5"/>
        <v>#N/A</v>
      </c>
    </row>
    <row r="31" spans="1:29" ht="15.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2"/>
      <c r="Q31" s="1809" t="str">
        <f t="shared" si="8"/>
        <v>建筑结构</v>
      </c>
      <c r="R31" s="774" t="s">
        <v>17</v>
      </c>
      <c r="S31" s="775">
        <f t="shared" si="9"/>
        <v>100</v>
      </c>
      <c r="T31" s="774" t="s">
        <v>17</v>
      </c>
      <c r="U31" s="775">
        <f t="shared" si="10"/>
        <v>100</v>
      </c>
      <c r="V31" s="774" t="s">
        <v>17</v>
      </c>
      <c r="W31" s="775">
        <f t="shared" si="11"/>
        <v>100</v>
      </c>
      <c r="X31" s="1812"/>
      <c r="Y31" s="3182"/>
      <c r="Z31" s="1813" t="str">
        <f t="shared" si="12"/>
        <v>建筑结构</v>
      </c>
      <c r="AA31" s="1810">
        <f t="shared" si="3"/>
        <v>1</v>
      </c>
      <c r="AB31" s="1810">
        <f t="shared" si="4"/>
        <v>1</v>
      </c>
      <c r="AC31" s="1810">
        <f t="shared" si="5"/>
        <v>1</v>
      </c>
    </row>
    <row r="32" spans="1:29" ht="15.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2"/>
      <c r="Q32" s="1809" t="str">
        <f t="shared" si="8"/>
        <v>公共部分装修</v>
      </c>
      <c r="R32" s="774" t="s">
        <v>17</v>
      </c>
      <c r="S32" s="775">
        <f t="shared" si="9"/>
        <v>100</v>
      </c>
      <c r="T32" s="774" t="s">
        <v>17</v>
      </c>
      <c r="U32" s="775">
        <f t="shared" si="10"/>
        <v>100</v>
      </c>
      <c r="V32" s="774" t="s">
        <v>17</v>
      </c>
      <c r="W32" s="775">
        <f t="shared" si="11"/>
        <v>100</v>
      </c>
      <c r="X32" s="1812"/>
      <c r="Y32" s="3182"/>
      <c r="Z32" s="1813" t="str">
        <f t="shared" si="12"/>
        <v>公共部分装修</v>
      </c>
      <c r="AA32" s="1810">
        <f t="shared" si="3"/>
        <v>1</v>
      </c>
      <c r="AB32" s="1810">
        <f t="shared" si="4"/>
        <v>1</v>
      </c>
      <c r="AC32" s="1810">
        <f t="shared" si="5"/>
        <v>1</v>
      </c>
    </row>
    <row r="33" spans="1:29" ht="15.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2"/>
      <c r="Q33" s="1809" t="str">
        <f t="shared" si="8"/>
        <v>成新度</v>
      </c>
      <c r="R33" s="774" t="s">
        <v>17</v>
      </c>
      <c r="S33" s="775" t="e">
        <f t="shared" si="9"/>
        <v>#N/A</v>
      </c>
      <c r="T33" s="774" t="s">
        <v>17</v>
      </c>
      <c r="U33" s="775" t="e">
        <f t="shared" si="10"/>
        <v>#N/A</v>
      </c>
      <c r="V33" s="774" t="s">
        <v>17</v>
      </c>
      <c r="W33" s="775" t="e">
        <f t="shared" si="11"/>
        <v>#N/A</v>
      </c>
      <c r="X33" s="1812"/>
      <c r="Y33" s="3182"/>
      <c r="Z33" s="1813" t="str">
        <f t="shared" si="12"/>
        <v>成新度</v>
      </c>
      <c r="AA33" s="1810" t="e">
        <f t="shared" si="3"/>
        <v>#N/A</v>
      </c>
      <c r="AB33" s="1810" t="e">
        <f t="shared" si="4"/>
        <v>#N/A</v>
      </c>
      <c r="AC33" s="1810" t="e">
        <f t="shared" si="5"/>
        <v>#N/A</v>
      </c>
    </row>
    <row r="34" spans="1:29" s="117" customFormat="1" ht="15.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2"/>
      <c r="Q34" s="1794" t="str">
        <f t="shared" si="8"/>
        <v>物业管理</v>
      </c>
      <c r="R34" s="770" t="s">
        <v>17</v>
      </c>
      <c r="S34" s="771">
        <f t="shared" si="9"/>
        <v>100</v>
      </c>
      <c r="T34" s="770" t="s">
        <v>17</v>
      </c>
      <c r="U34" s="771">
        <f t="shared" si="10"/>
        <v>100</v>
      </c>
      <c r="V34" s="770" t="s">
        <v>17</v>
      </c>
      <c r="W34" s="771">
        <f t="shared" si="11"/>
        <v>100</v>
      </c>
      <c r="X34" s="772"/>
      <c r="Y34" s="3182"/>
      <c r="Z34" s="55" t="str">
        <f t="shared" si="12"/>
        <v>物业管理</v>
      </c>
      <c r="AA34" s="773">
        <f t="shared" si="3"/>
        <v>1</v>
      </c>
      <c r="AB34" s="773">
        <f t="shared" si="4"/>
        <v>1</v>
      </c>
      <c r="AC34" s="773">
        <f t="shared" si="5"/>
        <v>1</v>
      </c>
    </row>
    <row r="35" spans="1:29" ht="15.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2" t="s">
        <v>2559</v>
      </c>
      <c r="Q35" s="1809" t="str">
        <f t="shared" si="8"/>
        <v>市政基础设施</v>
      </c>
      <c r="R35" s="774" t="s">
        <v>17</v>
      </c>
      <c r="S35" s="775">
        <f t="shared" si="9"/>
        <v>100</v>
      </c>
      <c r="T35" s="774" t="s">
        <v>17</v>
      </c>
      <c r="U35" s="775">
        <f t="shared" si="10"/>
        <v>100</v>
      </c>
      <c r="V35" s="774" t="s">
        <v>17</v>
      </c>
      <c r="W35" s="775">
        <f t="shared" si="11"/>
        <v>100</v>
      </c>
      <c r="X35" s="1812"/>
      <c r="Y35" s="3182" t="s">
        <v>2559</v>
      </c>
      <c r="Z35" s="1813" t="str">
        <f t="shared" si="12"/>
        <v>市政基础设施</v>
      </c>
      <c r="AA35" s="1810">
        <f t="shared" si="3"/>
        <v>1</v>
      </c>
      <c r="AB35" s="1810">
        <f t="shared" si="4"/>
        <v>1</v>
      </c>
      <c r="AC35" s="1810">
        <f t="shared" si="5"/>
        <v>1</v>
      </c>
    </row>
    <row r="36" spans="1:29" ht="15.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2"/>
      <c r="Q36" s="1809" t="str">
        <f t="shared" si="8"/>
        <v>内部装修</v>
      </c>
      <c r="R36" s="774" t="s">
        <v>17</v>
      </c>
      <c r="S36" s="775">
        <f t="shared" si="9"/>
        <v>100</v>
      </c>
      <c r="T36" s="774" t="s">
        <v>17</v>
      </c>
      <c r="U36" s="775">
        <f t="shared" si="10"/>
        <v>100</v>
      </c>
      <c r="V36" s="774" t="s">
        <v>17</v>
      </c>
      <c r="W36" s="775">
        <f t="shared" si="11"/>
        <v>100</v>
      </c>
      <c r="X36" s="1812"/>
      <c r="Y36" s="3182"/>
      <c r="Z36" s="1813" t="str">
        <f t="shared" si="12"/>
        <v>内部装修</v>
      </c>
      <c r="AA36" s="1810">
        <f t="shared" si="3"/>
        <v>1</v>
      </c>
      <c r="AB36" s="1810">
        <f t="shared" si="4"/>
        <v>1</v>
      </c>
      <c r="AC36" s="1810">
        <f t="shared" si="5"/>
        <v>1</v>
      </c>
    </row>
    <row r="37" spans="1:29" ht="15.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2"/>
      <c r="Q37" s="1809" t="str">
        <f t="shared" si="8"/>
        <v>内部装修状况</v>
      </c>
      <c r="R37" s="774" t="s">
        <v>17</v>
      </c>
      <c r="S37" s="775">
        <f t="shared" si="9"/>
        <v>100</v>
      </c>
      <c r="T37" s="774" t="s">
        <v>17</v>
      </c>
      <c r="U37" s="775">
        <f t="shared" si="10"/>
        <v>100</v>
      </c>
      <c r="V37" s="774" t="s">
        <v>17</v>
      </c>
      <c r="W37" s="775">
        <f t="shared" si="11"/>
        <v>100</v>
      </c>
      <c r="X37" s="1812"/>
      <c r="Y37" s="3182"/>
      <c r="Z37" s="1813" t="str">
        <f t="shared" si="12"/>
        <v>内部装修状况</v>
      </c>
      <c r="AA37" s="1810">
        <f t="shared" si="3"/>
        <v>1</v>
      </c>
      <c r="AB37" s="1810">
        <f t="shared" si="4"/>
        <v>1</v>
      </c>
      <c r="AC37" s="1810">
        <f t="shared" si="5"/>
        <v>1</v>
      </c>
    </row>
    <row r="38" spans="1:29" s="471" customFormat="1" ht="15.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2"/>
      <c r="Q38" s="776">
        <f t="shared" si="8"/>
        <v>111</v>
      </c>
      <c r="R38" s="777" t="s">
        <v>17</v>
      </c>
      <c r="S38" s="778">
        <f t="shared" si="9"/>
        <v>100</v>
      </c>
      <c r="T38" s="777" t="s">
        <v>17</v>
      </c>
      <c r="U38" s="778">
        <f t="shared" si="10"/>
        <v>100</v>
      </c>
      <c r="V38" s="777" t="s">
        <v>17</v>
      </c>
      <c r="W38" s="778">
        <f t="shared" si="11"/>
        <v>100</v>
      </c>
      <c r="X38" s="779"/>
      <c r="Y38" s="3182"/>
      <c r="Z38" s="780">
        <f t="shared" si="12"/>
        <v>111</v>
      </c>
      <c r="AA38" s="1810">
        <f t="shared" si="3"/>
        <v>1</v>
      </c>
      <c r="AB38" s="1810">
        <f t="shared" si="4"/>
        <v>1</v>
      </c>
      <c r="AC38" s="1810">
        <f t="shared" si="5"/>
        <v>1</v>
      </c>
    </row>
    <row r="39" spans="1:29" ht="15.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2"/>
      <c r="Q39" s="1809">
        <f t="shared" si="8"/>
        <v>111</v>
      </c>
      <c r="R39" s="774" t="s">
        <v>17</v>
      </c>
      <c r="S39" s="775">
        <f t="shared" si="9"/>
        <v>100</v>
      </c>
      <c r="T39" s="774" t="s">
        <v>17</v>
      </c>
      <c r="U39" s="775">
        <f t="shared" si="10"/>
        <v>100</v>
      </c>
      <c r="V39" s="774" t="s">
        <v>17</v>
      </c>
      <c r="W39" s="775">
        <f t="shared" si="11"/>
        <v>100</v>
      </c>
      <c r="X39" s="1812"/>
      <c r="Y39" s="3182"/>
      <c r="Z39" s="1813">
        <f t="shared" si="12"/>
        <v>111</v>
      </c>
      <c r="AA39" s="1810">
        <f t="shared" si="3"/>
        <v>1</v>
      </c>
      <c r="AB39" s="1810">
        <f t="shared" si="4"/>
        <v>1</v>
      </c>
      <c r="AC39" s="1810">
        <f t="shared" si="5"/>
        <v>1</v>
      </c>
    </row>
    <row r="40" spans="1:29" ht="16"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5"/>
      <c r="Q40" s="1809">
        <f t="shared" si="8"/>
        <v>111</v>
      </c>
      <c r="R40" s="774" t="s">
        <v>17</v>
      </c>
      <c r="S40" s="775">
        <f t="shared" si="9"/>
        <v>100</v>
      </c>
      <c r="T40" s="774" t="s">
        <v>17</v>
      </c>
      <c r="U40" s="775">
        <f t="shared" si="10"/>
        <v>100</v>
      </c>
      <c r="V40" s="774" t="s">
        <v>17</v>
      </c>
      <c r="W40" s="775">
        <f t="shared" si="11"/>
        <v>100</v>
      </c>
      <c r="X40" s="1812"/>
      <c r="Y40" s="3245"/>
      <c r="Z40" s="1813">
        <f t="shared" si="12"/>
        <v>111</v>
      </c>
      <c r="AA40" s="1810">
        <f t="shared" si="3"/>
        <v>1</v>
      </c>
      <c r="AB40" s="1810">
        <f t="shared" si="4"/>
        <v>1</v>
      </c>
      <c r="AC40" s="1810">
        <f t="shared" si="5"/>
        <v>1</v>
      </c>
    </row>
    <row r="41" spans="1:29">
      <c r="A41" s="479" t="s">
        <v>2571</v>
      </c>
      <c r="B41" s="480"/>
      <c r="C41" s="1407" t="s">
        <v>1</v>
      </c>
      <c r="D41" s="1408"/>
      <c r="E41" s="1409"/>
      <c r="F41" s="1410"/>
      <c r="G41" s="1411"/>
      <c r="H41" s="1412"/>
      <c r="I41" s="1409"/>
      <c r="J41" s="1412"/>
      <c r="K41" s="783"/>
      <c r="L41" s="1143"/>
      <c r="M41" s="1144"/>
      <c r="N41" s="1131"/>
      <c r="O41" s="1144"/>
      <c r="P41" s="3177" t="str">
        <f>A41</f>
        <v>成交单价（元/平方米）</v>
      </c>
      <c r="Q41" s="3177"/>
      <c r="R41" s="3241">
        <f>E41</f>
        <v>0</v>
      </c>
      <c r="S41" s="3241"/>
      <c r="T41" s="3241">
        <f>G41</f>
        <v>0</v>
      </c>
      <c r="U41" s="3241"/>
      <c r="V41" s="3241">
        <f>I41</f>
        <v>0</v>
      </c>
      <c r="W41" s="3241"/>
      <c r="X41" s="759"/>
      <c r="Y41" s="781"/>
      <c r="Z41" s="759"/>
      <c r="AA41" s="759"/>
      <c r="AB41" s="759"/>
      <c r="AC41" s="759"/>
    </row>
    <row r="42" spans="1:29" ht="14.5" thickBot="1">
      <c r="A42" s="486" t="s">
        <v>2663</v>
      </c>
      <c r="B42" s="487"/>
      <c r="C42" s="1413" t="e">
        <f>R43</f>
        <v>#DIV/0!</v>
      </c>
      <c r="D42" s="1414"/>
      <c r="E42" s="1415" t="e">
        <f>R42</f>
        <v>#DIV/0!</v>
      </c>
      <c r="F42" s="1415"/>
      <c r="G42" s="1413" t="e">
        <f>T42</f>
        <v>#DIV/0!</v>
      </c>
      <c r="H42" s="1414"/>
      <c r="I42" s="1415" t="e">
        <f>V42</f>
        <v>#DIV/0!</v>
      </c>
      <c r="J42" s="1414"/>
      <c r="K42" s="784"/>
      <c r="L42" s="1143"/>
      <c r="M42" s="1144"/>
      <c r="N42" s="1131"/>
      <c r="O42" s="1144"/>
      <c r="P42" s="3177" t="str">
        <f>A42</f>
        <v>比较价值（元/平方米）</v>
      </c>
      <c r="Q42" s="3177"/>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759"/>
      <c r="Y42" s="759"/>
      <c r="Z42" s="759"/>
      <c r="AA42" s="759"/>
      <c r="AB42" s="759"/>
      <c r="AC42" s="759"/>
    </row>
    <row r="43" spans="1:29" ht="14.5" thickBot="1">
      <c r="A43" s="492" t="s">
        <v>2664</v>
      </c>
      <c r="B43" s="493"/>
      <c r="C43" s="1417" t="e">
        <f>R43</f>
        <v>#DIV/0!</v>
      </c>
      <c r="D43" s="1417"/>
      <c r="E43" s="1417"/>
      <c r="F43" s="1417"/>
      <c r="G43" s="1417"/>
      <c r="H43" s="1417"/>
      <c r="I43" s="1417"/>
      <c r="J43" s="1417"/>
      <c r="K43" s="785"/>
      <c r="L43" s="1143"/>
      <c r="M43" s="1144"/>
      <c r="N43" s="1144"/>
      <c r="O43" s="1144"/>
      <c r="P43" s="3171" t="str">
        <f>A43</f>
        <v>估价对象XX用房的比较价值（楼面单价，元/平方米）</v>
      </c>
      <c r="Q43" s="3172"/>
      <c r="R43" s="3240" t="e">
        <f>IF(F1="售价",ROUND(AVERAGE(R42:V42),0),ROUND(AVERAGE(R42:V42),1))</f>
        <v>#DIV/0!</v>
      </c>
      <c r="S43" s="3240"/>
      <c r="T43" s="3240"/>
      <c r="U43" s="3240"/>
      <c r="V43" s="3240"/>
      <c r="W43" s="324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5" thickBot="1">
      <c r="A51" s="763" t="s">
        <v>2668</v>
      </c>
      <c r="B51" s="759"/>
      <c r="C51" s="764"/>
      <c r="D51" s="764"/>
      <c r="E51" s="764"/>
      <c r="F51" s="765"/>
      <c r="G51" s="765"/>
      <c r="H51" s="764"/>
      <c r="I51" s="764"/>
      <c r="J51" s="764"/>
      <c r="K51" s="1160"/>
      <c r="L51" s="1161"/>
      <c r="M51" s="1159"/>
      <c r="N51" s="1159"/>
      <c r="O51" s="1159"/>
      <c r="P51" s="503"/>
      <c r="Q51" s="504"/>
    </row>
    <row r="52" spans="1:17" s="508" customFormat="1">
      <c r="A52" s="505" t="s">
        <v>2542</v>
      </c>
      <c r="B52" s="506"/>
      <c r="C52" s="1573" t="str">
        <f>YEAR(C7)&amp;"-"&amp;MONTH(C7)</f>
        <v>2020-2</v>
      </c>
      <c r="D52" s="1574">
        <f>EDATE(C52,-1)</f>
        <v>43831</v>
      </c>
      <c r="E52" s="1574">
        <f t="shared" ref="E52:O52" si="13">EDATE(D52,-1)</f>
        <v>43800</v>
      </c>
      <c r="F52" s="1574">
        <f t="shared" si="13"/>
        <v>43770</v>
      </c>
      <c r="G52" s="1574">
        <f t="shared" si="13"/>
        <v>43739</v>
      </c>
      <c r="H52" s="1574">
        <f t="shared" si="13"/>
        <v>43709</v>
      </c>
      <c r="I52" s="1574">
        <f t="shared" si="13"/>
        <v>43678</v>
      </c>
      <c r="J52" s="1574">
        <f t="shared" si="13"/>
        <v>43647</v>
      </c>
      <c r="K52" s="1574">
        <f t="shared" si="13"/>
        <v>43617</v>
      </c>
      <c r="L52" s="1574">
        <f t="shared" si="13"/>
        <v>43586</v>
      </c>
      <c r="M52" s="1574">
        <f t="shared" si="13"/>
        <v>43556</v>
      </c>
      <c r="N52" s="1574">
        <f t="shared" si="13"/>
        <v>43525</v>
      </c>
      <c r="O52" s="1574">
        <f t="shared" si="13"/>
        <v>43497</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4.5" thickBot="1">
      <c r="A54" s="515" t="s">
        <v>2579</v>
      </c>
      <c r="B54" s="516"/>
      <c r="C54" s="517"/>
      <c r="D54" s="518"/>
      <c r="E54" s="518"/>
      <c r="F54" s="518"/>
      <c r="G54" s="518"/>
      <c r="H54" s="518"/>
      <c r="I54" s="518"/>
      <c r="J54" s="518"/>
      <c r="K54" s="518"/>
      <c r="L54" s="518"/>
      <c r="M54" s="519"/>
      <c r="N54" s="518"/>
      <c r="O54" s="520"/>
      <c r="P54" s="504"/>
      <c r="Q54" s="504"/>
    </row>
    <row r="55" spans="1:17" s="117" customFormat="1">
      <c r="A55" s="521" t="s">
        <v>2544</v>
      </c>
      <c r="B55" s="510"/>
      <c r="C55" s="522" t="s">
        <v>2646</v>
      </c>
      <c r="D55" s="523"/>
      <c r="E55" s="523"/>
      <c r="F55" s="523"/>
      <c r="G55" s="523"/>
      <c r="H55" s="523"/>
      <c r="I55" s="523"/>
      <c r="J55" s="523"/>
      <c r="K55" s="523"/>
      <c r="L55" s="524"/>
      <c r="M55" s="525"/>
      <c r="N55" s="1151"/>
      <c r="O55" s="1151"/>
      <c r="P55" s="526"/>
      <c r="Q55" s="504"/>
    </row>
    <row r="56" spans="1:17" s="117" customFormat="1" ht="14.5" thickBot="1">
      <c r="A56" s="521"/>
      <c r="B56" s="510"/>
      <c r="C56" s="639">
        <v>100</v>
      </c>
      <c r="D56" s="512"/>
      <c r="E56" s="512"/>
      <c r="F56" s="512"/>
      <c r="G56" s="512"/>
      <c r="H56" s="512"/>
      <c r="I56" s="512"/>
      <c r="J56" s="512"/>
      <c r="K56" s="512"/>
      <c r="L56" s="512"/>
      <c r="M56" s="514"/>
      <c r="N56" s="1151"/>
      <c r="O56" s="1151"/>
      <c r="P56" s="504"/>
      <c r="Q56" s="504"/>
    </row>
    <row r="57" spans="1:17">
      <c r="A57" s="527" t="s">
        <v>2582</v>
      </c>
      <c r="B57" s="528" t="s">
        <v>2548</v>
      </c>
      <c r="C57" s="529">
        <f>C9</f>
        <v>0</v>
      </c>
      <c r="D57" s="530"/>
      <c r="E57" s="530"/>
      <c r="F57" s="530"/>
      <c r="G57" s="530"/>
      <c r="H57" s="530"/>
      <c r="I57" s="530"/>
      <c r="J57" s="530"/>
      <c r="K57" s="531"/>
      <c r="L57" s="532"/>
      <c r="M57" s="533"/>
      <c r="N57" s="1152"/>
      <c r="O57" s="1152"/>
      <c r="P57" s="45"/>
      <c r="Q57" s="504"/>
    </row>
    <row r="58" spans="1:17" ht="14.5" thickBot="1">
      <c r="A58" s="534"/>
      <c r="B58" s="535"/>
      <c r="C58" s="536">
        <v>100</v>
      </c>
      <c r="D58" s="536"/>
      <c r="E58" s="536"/>
      <c r="F58" s="536"/>
      <c r="G58" s="536"/>
      <c r="H58" s="536"/>
      <c r="I58" s="536"/>
      <c r="J58" s="536"/>
      <c r="K58" s="536"/>
      <c r="L58" s="536"/>
      <c r="M58" s="537"/>
      <c r="N58" s="1153"/>
      <c r="O58" s="1153"/>
      <c r="P58" s="45"/>
      <c r="Q58" s="504"/>
    </row>
    <row r="59" spans="1:17" ht="28.5" thickTop="1">
      <c r="A59" s="534"/>
      <c r="B59" s="538" t="s">
        <v>2551</v>
      </c>
      <c r="C59" s="539" t="s">
        <v>2583</v>
      </c>
      <c r="D59" s="539" t="s">
        <v>2584</v>
      </c>
      <c r="E59" s="539" t="s">
        <v>2585</v>
      </c>
      <c r="F59" s="539" t="s">
        <v>2586</v>
      </c>
      <c r="G59" s="539" t="s">
        <v>2587</v>
      </c>
      <c r="H59" s="539" t="s">
        <v>2588</v>
      </c>
      <c r="I59" s="539" t="s">
        <v>2589</v>
      </c>
      <c r="J59" s="539"/>
      <c r="K59" s="540"/>
      <c r="L59" s="541"/>
      <c r="M59" s="542"/>
      <c r="N59" s="1152"/>
      <c r="O59" s="1152"/>
      <c r="P59" s="45"/>
      <c r="Q59" s="504"/>
    </row>
    <row r="60" spans="1:17" ht="14.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4.5" thickTop="1">
      <c r="A61" s="534"/>
      <c r="B61" s="546" t="s">
        <v>2552</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3"/>
      <c r="O63" s="1153"/>
      <c r="P63" s="45"/>
      <c r="Q63" s="504"/>
    </row>
    <row r="64" spans="1:17" s="471" customFormat="1" ht="14.5" thickTop="1">
      <c r="A64" s="553"/>
      <c r="B64" s="538">
        <f>B12</f>
        <v>111</v>
      </c>
      <c r="C64" s="554"/>
      <c r="D64" s="554"/>
      <c r="E64" s="554"/>
      <c r="F64" s="554"/>
      <c r="G64" s="554"/>
      <c r="H64" s="555"/>
      <c r="I64" s="555"/>
      <c r="J64" s="555"/>
      <c r="K64" s="555"/>
      <c r="L64" s="556"/>
      <c r="M64" s="557"/>
      <c r="N64" s="1154"/>
      <c r="O64" s="1154"/>
      <c r="P64" s="558"/>
      <c r="Q64" s="559"/>
    </row>
    <row r="65" spans="1:17" s="471" customFormat="1" ht="14.5" thickBot="1">
      <c r="A65" s="553"/>
      <c r="B65" s="543"/>
      <c r="C65" s="560"/>
      <c r="D65" s="536"/>
      <c r="E65" s="536"/>
      <c r="F65" s="536"/>
      <c r="G65" s="536"/>
      <c r="H65" s="536"/>
      <c r="I65" s="536"/>
      <c r="J65" s="536"/>
      <c r="K65" s="536"/>
      <c r="L65" s="536"/>
      <c r="M65" s="537"/>
      <c r="N65" s="1153"/>
      <c r="O65" s="1153"/>
      <c r="P65" s="558"/>
      <c r="Q65" s="559"/>
    </row>
    <row r="66" spans="1:17" s="471" customFormat="1" ht="14.5" thickTop="1">
      <c r="A66" s="553"/>
      <c r="B66" s="538">
        <f>B13</f>
        <v>111</v>
      </c>
      <c r="C66" s="554"/>
      <c r="D66" s="554"/>
      <c r="E66" s="554"/>
      <c r="F66" s="554"/>
      <c r="G66" s="554"/>
      <c r="H66" s="555"/>
      <c r="I66" s="555"/>
      <c r="J66" s="555"/>
      <c r="K66" s="555"/>
      <c r="L66" s="556"/>
      <c r="M66" s="557"/>
      <c r="N66" s="1154"/>
      <c r="O66" s="1154"/>
      <c r="P66" s="470"/>
      <c r="Q66" s="561"/>
    </row>
    <row r="67" spans="1:17" s="471" customFormat="1" ht="14.5" thickBot="1">
      <c r="A67" s="553"/>
      <c r="B67" s="543"/>
      <c r="C67" s="560"/>
      <c r="D67" s="536"/>
      <c r="E67" s="536"/>
      <c r="F67" s="536"/>
      <c r="G67" s="560"/>
      <c r="H67" s="562"/>
      <c r="I67" s="562"/>
      <c r="J67" s="562"/>
      <c r="K67" s="562"/>
      <c r="L67" s="562"/>
      <c r="M67" s="563"/>
      <c r="N67" s="1154"/>
      <c r="O67" s="1154"/>
      <c r="P67" s="558"/>
      <c r="Q67" s="559"/>
    </row>
    <row r="68" spans="1:17" s="471" customFormat="1" ht="14.5" thickTop="1">
      <c r="A68" s="553"/>
      <c r="B68" s="546">
        <f>B14</f>
        <v>111</v>
      </c>
      <c r="C68" s="523"/>
      <c r="D68" s="523"/>
      <c r="E68" s="523"/>
      <c r="F68" s="523"/>
      <c r="G68" s="523"/>
      <c r="H68" s="564"/>
      <c r="I68" s="564"/>
      <c r="J68" s="564"/>
      <c r="K68" s="564"/>
      <c r="L68" s="565"/>
      <c r="M68" s="566"/>
      <c r="N68" s="1154"/>
      <c r="O68" s="1154"/>
      <c r="P68" s="567"/>
      <c r="Q68" s="559"/>
    </row>
    <row r="69" spans="1:17" s="471" customFormat="1" ht="14.5" thickBot="1">
      <c r="A69" s="568"/>
      <c r="B69" s="569"/>
      <c r="C69" s="570"/>
      <c r="D69" s="570"/>
      <c r="E69" s="570"/>
      <c r="F69" s="570"/>
      <c r="G69" s="570"/>
      <c r="H69" s="571"/>
      <c r="I69" s="571"/>
      <c r="J69" s="571"/>
      <c r="K69" s="571"/>
      <c r="L69" s="571"/>
      <c r="M69" s="572"/>
      <c r="N69" s="1154"/>
      <c r="O69" s="1154"/>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2"/>
      <c r="O70" s="1152"/>
      <c r="P70" s="577"/>
      <c r="Q70" s="504"/>
    </row>
    <row r="71" spans="1:17" ht="14.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4.5" thickTop="1">
      <c r="A72" s="534"/>
      <c r="B72" s="538" t="s">
        <v>2596</v>
      </c>
      <c r="C72" s="578" t="s">
        <v>2591</v>
      </c>
      <c r="D72" s="578" t="s">
        <v>2592</v>
      </c>
      <c r="E72" s="578" t="s">
        <v>2593</v>
      </c>
      <c r="F72" s="578" t="s">
        <v>2594</v>
      </c>
      <c r="G72" s="578" t="s">
        <v>2595</v>
      </c>
      <c r="H72" s="539"/>
      <c r="I72" s="539"/>
      <c r="J72" s="539"/>
      <c r="K72" s="540"/>
      <c r="L72" s="541"/>
      <c r="M72" s="542"/>
      <c r="N72" s="1152"/>
      <c r="O72" s="1152"/>
      <c r="P72" s="45"/>
      <c r="Q72" s="504"/>
    </row>
    <row r="73" spans="1:17" ht="14.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4.5" thickTop="1">
      <c r="A74" s="534"/>
      <c r="B74" s="538" t="s">
        <v>2597</v>
      </c>
      <c r="C74" s="578" t="s">
        <v>2591</v>
      </c>
      <c r="D74" s="578" t="s">
        <v>2592</v>
      </c>
      <c r="E74" s="578" t="s">
        <v>2593</v>
      </c>
      <c r="F74" s="578" t="s">
        <v>2594</v>
      </c>
      <c r="G74" s="578" t="s">
        <v>2595</v>
      </c>
      <c r="H74" s="539"/>
      <c r="I74" s="539"/>
      <c r="J74" s="539"/>
      <c r="K74" s="540"/>
      <c r="L74" s="541"/>
      <c r="M74" s="542"/>
      <c r="N74" s="1152"/>
      <c r="O74" s="1152"/>
      <c r="P74" s="45"/>
      <c r="Q74" s="504"/>
    </row>
    <row r="75" spans="1:17" ht="14.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4.5" thickTop="1">
      <c r="A76" s="534"/>
      <c r="B76" s="546" t="s">
        <v>2683</v>
      </c>
      <c r="C76" s="660" t="s">
        <v>2669</v>
      </c>
      <c r="D76" s="660" t="s">
        <v>2670</v>
      </c>
      <c r="E76" s="660" t="s">
        <v>2671</v>
      </c>
      <c r="F76" s="660" t="s">
        <v>2672</v>
      </c>
      <c r="G76" s="660" t="s">
        <v>2673</v>
      </c>
      <c r="H76" s="539"/>
      <c r="I76" s="539"/>
      <c r="J76" s="539"/>
      <c r="K76" s="539"/>
      <c r="L76" s="539"/>
      <c r="M76" s="1382"/>
      <c r="N76" s="1153"/>
      <c r="O76" s="1153"/>
      <c r="P76" s="45"/>
      <c r="Q76" s="504"/>
    </row>
    <row r="77" spans="1:17" ht="14.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4.5" thickTop="1">
      <c r="A78" s="534"/>
      <c r="B78" s="538" t="s">
        <v>2692</v>
      </c>
      <c r="C78" s="578" t="s">
        <v>2591</v>
      </c>
      <c r="D78" s="578" t="s">
        <v>2592</v>
      </c>
      <c r="E78" s="578" t="s">
        <v>2593</v>
      </c>
      <c r="F78" s="578" t="s">
        <v>2594</v>
      </c>
      <c r="G78" s="578" t="s">
        <v>2595</v>
      </c>
      <c r="H78" s="539"/>
      <c r="I78" s="539"/>
      <c r="J78" s="539"/>
      <c r="K78" s="540"/>
      <c r="L78" s="541"/>
      <c r="M78" s="542"/>
      <c r="N78" s="1152"/>
      <c r="O78" s="1152"/>
      <c r="P78" s="45"/>
      <c r="Q78" s="504"/>
    </row>
    <row r="79" spans="1:17" ht="14.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5" thickTop="1">
      <c r="A80" s="579"/>
      <c r="B80" s="538">
        <f>B25</f>
        <v>111</v>
      </c>
      <c r="C80" s="554"/>
      <c r="D80" s="554"/>
      <c r="E80" s="554"/>
      <c r="F80" s="554"/>
      <c r="G80" s="554"/>
      <c r="H80" s="554"/>
      <c r="I80" s="554"/>
      <c r="J80" s="554"/>
      <c r="K80" s="554"/>
      <c r="L80" s="580"/>
      <c r="M80" s="581"/>
      <c r="N80" s="1151"/>
      <c r="O80" s="1151"/>
      <c r="P80" s="45"/>
      <c r="Q80" s="504"/>
    </row>
    <row r="81" spans="1:17" s="117" customFormat="1" ht="14.5" thickBot="1">
      <c r="A81" s="579"/>
      <c r="B81" s="543"/>
      <c r="C81" s="560"/>
      <c r="D81" s="536"/>
      <c r="E81" s="536"/>
      <c r="F81" s="536"/>
      <c r="G81" s="536"/>
      <c r="H81" s="536"/>
      <c r="I81" s="536"/>
      <c r="J81" s="536"/>
      <c r="K81" s="536"/>
      <c r="L81" s="536"/>
      <c r="M81" s="537"/>
      <c r="N81" s="1153"/>
      <c r="O81" s="1153"/>
      <c r="P81" s="45"/>
      <c r="Q81" s="504"/>
    </row>
    <row r="82" spans="1:17" s="117" customFormat="1" ht="14.5" thickTop="1">
      <c r="A82" s="579"/>
      <c r="B82" s="538">
        <f>B26</f>
        <v>111</v>
      </c>
      <c r="C82" s="554"/>
      <c r="D82" s="554"/>
      <c r="E82" s="554"/>
      <c r="F82" s="554"/>
      <c r="G82" s="554"/>
      <c r="H82" s="554"/>
      <c r="I82" s="554"/>
      <c r="J82" s="554"/>
      <c r="K82" s="554"/>
      <c r="L82" s="580"/>
      <c r="M82" s="581"/>
      <c r="N82" s="1151"/>
      <c r="O82" s="1151"/>
      <c r="P82" s="45"/>
      <c r="Q82" s="504"/>
    </row>
    <row r="83" spans="1:17" s="117" customFormat="1" ht="14.5" thickBot="1">
      <c r="A83" s="579"/>
      <c r="B83" s="543"/>
      <c r="C83" s="560"/>
      <c r="D83" s="536"/>
      <c r="E83" s="536"/>
      <c r="F83" s="536"/>
      <c r="G83" s="536"/>
      <c r="H83" s="536"/>
      <c r="I83" s="536"/>
      <c r="J83" s="536"/>
      <c r="K83" s="536"/>
      <c r="L83" s="536"/>
      <c r="M83" s="537"/>
      <c r="N83" s="1153"/>
      <c r="O83" s="1153"/>
      <c r="P83" s="45"/>
      <c r="Q83" s="504"/>
    </row>
    <row r="84" spans="1:17" s="471" customFormat="1" ht="14.5" thickTop="1">
      <c r="A84" s="553"/>
      <c r="B84" s="538">
        <f>B27</f>
        <v>111</v>
      </c>
      <c r="C84" s="554"/>
      <c r="D84" s="554"/>
      <c r="E84" s="554"/>
      <c r="F84" s="554"/>
      <c r="G84" s="554"/>
      <c r="H84" s="554"/>
      <c r="I84" s="554"/>
      <c r="J84" s="554"/>
      <c r="K84" s="554"/>
      <c r="L84" s="580"/>
      <c r="M84" s="581"/>
      <c r="N84" s="1154"/>
      <c r="O84" s="1154"/>
      <c r="P84" s="558"/>
      <c r="Q84" s="559"/>
    </row>
    <row r="85" spans="1:17" s="471" customFormat="1" ht="14.5" thickBot="1">
      <c r="A85" s="553"/>
      <c r="B85" s="543"/>
      <c r="C85" s="560"/>
      <c r="D85" s="536"/>
      <c r="E85" s="536"/>
      <c r="F85" s="536"/>
      <c r="G85" s="536"/>
      <c r="H85" s="536"/>
      <c r="I85" s="536"/>
      <c r="J85" s="536"/>
      <c r="K85" s="536"/>
      <c r="L85" s="536"/>
      <c r="M85" s="537"/>
      <c r="N85" s="1154"/>
      <c r="O85" s="1154"/>
      <c r="P85" s="558"/>
      <c r="Q85" s="559"/>
    </row>
    <row r="86" spans="1:17" ht="14.5" thickTop="1">
      <c r="A86" s="534"/>
      <c r="B86" s="546">
        <f>B28</f>
        <v>111</v>
      </c>
      <c r="C86" s="523"/>
      <c r="D86" s="523"/>
      <c r="E86" s="523"/>
      <c r="F86" s="523"/>
      <c r="G86" s="587"/>
      <c r="H86" s="587"/>
      <c r="I86" s="587"/>
      <c r="J86" s="587"/>
      <c r="K86" s="588"/>
      <c r="L86" s="589"/>
      <c r="M86" s="590"/>
      <c r="N86" s="1152"/>
      <c r="O86" s="1152"/>
      <c r="P86" s="45"/>
      <c r="Q86" s="504"/>
    </row>
    <row r="87" spans="1:17" ht="14.5" thickBot="1">
      <c r="A87" s="2636"/>
      <c r="B87" s="569"/>
      <c r="C87" s="570"/>
      <c r="D87" s="570"/>
      <c r="E87" s="570"/>
      <c r="F87" s="570"/>
      <c r="G87" s="591"/>
      <c r="H87" s="591"/>
      <c r="I87" s="591"/>
      <c r="J87" s="591"/>
      <c r="K87" s="591"/>
      <c r="L87" s="591"/>
      <c r="M87" s="592"/>
      <c r="N87" s="1153"/>
      <c r="O87" s="1153"/>
      <c r="P87" s="45"/>
      <c r="Q87" s="504"/>
    </row>
    <row r="88" spans="1:17">
      <c r="A88" s="527" t="s">
        <v>2557</v>
      </c>
      <c r="B88" s="528" t="s">
        <v>2606</v>
      </c>
      <c r="C88" s="530"/>
      <c r="D88" s="530"/>
      <c r="E88" s="530"/>
      <c r="F88" s="530"/>
      <c r="G88" s="530"/>
      <c r="H88" s="530"/>
      <c r="I88" s="530"/>
      <c r="J88" s="530"/>
      <c r="K88" s="531"/>
      <c r="L88" s="532"/>
      <c r="M88" s="533"/>
      <c r="N88" s="1152"/>
      <c r="O88" s="1152"/>
      <c r="P88" s="45"/>
      <c r="Q88" s="504"/>
    </row>
    <row r="89" spans="1:17" ht="14.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3"/>
      <c r="O89" s="1153"/>
      <c r="P89" s="45"/>
      <c r="Q89" s="504"/>
    </row>
    <row r="90" spans="1:17" ht="14.5" thickTop="1">
      <c r="A90" s="534"/>
      <c r="B90" s="538" t="s">
        <v>2607</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5" thickBot="1">
      <c r="A92" s="553"/>
      <c r="B92" s="543"/>
      <c r="C92" s="560"/>
      <c r="D92" s="536"/>
      <c r="E92" s="536"/>
      <c r="F92" s="536"/>
      <c r="G92" s="536"/>
      <c r="H92" s="536"/>
      <c r="I92" s="536"/>
      <c r="J92" s="536"/>
      <c r="K92" s="536"/>
      <c r="L92" s="536"/>
      <c r="M92" s="537"/>
      <c r="N92" s="1153"/>
      <c r="O92" s="1153"/>
      <c r="P92" s="558"/>
      <c r="Q92" s="559"/>
    </row>
    <row r="93" spans="1:17" ht="14.5" thickTop="1">
      <c r="A93" s="599"/>
      <c r="B93" s="538" t="s">
        <v>2608</v>
      </c>
      <c r="C93" s="554"/>
      <c r="D93" s="554"/>
      <c r="E93" s="583"/>
      <c r="F93" s="583"/>
      <c r="G93" s="583"/>
      <c r="H93" s="583"/>
      <c r="I93" s="583"/>
      <c r="J93" s="583"/>
      <c r="K93" s="584"/>
      <c r="L93" s="585"/>
      <c r="M93" s="586"/>
      <c r="N93" s="1152"/>
      <c r="O93" s="1152"/>
      <c r="P93" s="45"/>
      <c r="Q93" s="504"/>
    </row>
    <row r="94" spans="1:17" ht="14.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3"/>
      <c r="O94" s="1153"/>
      <c r="P94" s="45"/>
      <c r="Q94" s="504"/>
    </row>
    <row r="95" spans="1:17" ht="14.5" thickTop="1">
      <c r="A95" s="599"/>
      <c r="B95" s="538" t="s">
        <v>2610</v>
      </c>
      <c r="C95" s="554"/>
      <c r="D95" s="554"/>
      <c r="E95" s="554"/>
      <c r="F95" s="583"/>
      <c r="G95" s="583"/>
      <c r="H95" s="583"/>
      <c r="I95" s="583"/>
      <c r="J95" s="583"/>
      <c r="K95" s="584"/>
      <c r="L95" s="585"/>
      <c r="M95" s="586"/>
      <c r="N95" s="1152"/>
      <c r="O95" s="1152"/>
      <c r="P95" s="45"/>
      <c r="Q95" s="504"/>
    </row>
    <row r="96" spans="1:17" ht="14.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3"/>
      <c r="O96" s="1153"/>
      <c r="P96" s="45"/>
      <c r="Q96" s="504"/>
    </row>
    <row r="97" spans="1:17" ht="14.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3"/>
      <c r="O99" s="1153"/>
      <c r="P99" s="45"/>
      <c r="Q99" s="504"/>
    </row>
    <row r="100" spans="1:17" s="471" customFormat="1" ht="14.5" thickTop="1">
      <c r="A100" s="593"/>
      <c r="B100" s="538" t="s">
        <v>2611</v>
      </c>
      <c r="C100" s="554"/>
      <c r="D100" s="554"/>
      <c r="E100" s="554"/>
      <c r="F100" s="554"/>
      <c r="G100" s="554"/>
      <c r="H100" s="583"/>
      <c r="I100" s="583"/>
      <c r="J100" s="583"/>
      <c r="K100" s="584"/>
      <c r="L100" s="585"/>
      <c r="M100" s="586"/>
      <c r="N100" s="1154"/>
      <c r="O100" s="1154"/>
      <c r="P100" s="558"/>
      <c r="Q100" s="559"/>
    </row>
    <row r="101" spans="1:17" s="471" customFormat="1" ht="14.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4"/>
      <c r="O101" s="1154"/>
      <c r="P101" s="558"/>
      <c r="Q101" s="559"/>
    </row>
    <row r="102" spans="1:17" ht="14.5" thickTop="1">
      <c r="A102" s="599"/>
      <c r="B102" s="538" t="s">
        <v>2612</v>
      </c>
      <c r="C102" s="554"/>
      <c r="D102" s="554"/>
      <c r="E102" s="554"/>
      <c r="F102" s="554"/>
      <c r="G102" s="554"/>
      <c r="H102" s="583"/>
      <c r="I102" s="583"/>
      <c r="J102" s="583"/>
      <c r="K102" s="584"/>
      <c r="L102" s="585"/>
      <c r="M102" s="586"/>
      <c r="N102" s="1152"/>
      <c r="O102" s="1152"/>
      <c r="P102" s="45"/>
      <c r="Q102" s="504"/>
    </row>
    <row r="103" spans="1:17" ht="14.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3"/>
      <c r="O103" s="1153"/>
      <c r="P103" s="45"/>
      <c r="Q103" s="504"/>
    </row>
    <row r="104" spans="1:17" ht="14.5" thickTop="1">
      <c r="A104" s="599"/>
      <c r="B104" s="538" t="s">
        <v>2614</v>
      </c>
      <c r="C104" s="554"/>
      <c r="D104" s="554"/>
      <c r="E104" s="554"/>
      <c r="F104" s="554"/>
      <c r="G104" s="554"/>
      <c r="H104" s="583"/>
      <c r="I104" s="583"/>
      <c r="J104" s="583"/>
      <c r="K104" s="584"/>
      <c r="L104" s="585"/>
      <c r="M104" s="586"/>
      <c r="N104" s="1152"/>
      <c r="O104" s="1152"/>
      <c r="P104" s="45"/>
      <c r="Q104" s="504"/>
    </row>
    <row r="105" spans="1:17" ht="14.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8.5" thickTop="1">
      <c r="A106" s="599"/>
      <c r="B106" s="636" t="s">
        <v>2700</v>
      </c>
      <c r="C106" s="578" t="s">
        <v>2591</v>
      </c>
      <c r="D106" s="578" t="s">
        <v>2592</v>
      </c>
      <c r="E106" s="578" t="s">
        <v>2593</v>
      </c>
      <c r="F106" s="578" t="s">
        <v>2594</v>
      </c>
      <c r="G106" s="578" t="s">
        <v>2595</v>
      </c>
      <c r="H106" s="539"/>
      <c r="I106" s="539"/>
      <c r="J106" s="539"/>
      <c r="K106" s="540"/>
      <c r="L106" s="541"/>
      <c r="M106" s="542"/>
      <c r="N106" s="1153"/>
      <c r="O106" s="1153"/>
      <c r="P106" s="637"/>
      <c r="Q106" s="638"/>
    </row>
    <row r="107" spans="1:17" ht="14.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s="471" customFormat="1" ht="14.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5" thickBot="1">
      <c r="A109" s="553"/>
      <c r="B109" s="535"/>
      <c r="C109" s="560"/>
      <c r="D109" s="536"/>
      <c r="E109" s="536"/>
      <c r="F109" s="536"/>
      <c r="G109" s="560"/>
      <c r="H109" s="562"/>
      <c r="I109" s="562"/>
      <c r="J109" s="562"/>
      <c r="K109" s="562"/>
      <c r="L109" s="562"/>
      <c r="M109" s="563"/>
      <c r="N109" s="1154"/>
      <c r="O109" s="1154"/>
      <c r="P109" s="558"/>
      <c r="Q109" s="559"/>
    </row>
    <row r="110" spans="1:17" ht="14.5" thickTop="1">
      <c r="A110" s="599"/>
      <c r="B110" s="538">
        <f>B39</f>
        <v>111</v>
      </c>
      <c r="C110" s="554"/>
      <c r="D110" s="554"/>
      <c r="E110" s="554"/>
      <c r="F110" s="554"/>
      <c r="G110" s="554"/>
      <c r="H110" s="555"/>
      <c r="I110" s="555"/>
      <c r="J110" s="555"/>
      <c r="K110" s="555"/>
      <c r="L110" s="556"/>
      <c r="M110" s="557"/>
      <c r="N110" s="1152"/>
      <c r="O110" s="1152"/>
      <c r="P110" s="45"/>
      <c r="Q110" s="504"/>
    </row>
    <row r="111" spans="1:17" ht="14.5" thickBot="1">
      <c r="A111" s="534"/>
      <c r="B111" s="543"/>
      <c r="C111" s="560"/>
      <c r="D111" s="536"/>
      <c r="E111" s="536"/>
      <c r="F111" s="536"/>
      <c r="G111" s="560"/>
      <c r="H111" s="562"/>
      <c r="I111" s="562"/>
      <c r="J111" s="562"/>
      <c r="K111" s="562"/>
      <c r="L111" s="562"/>
      <c r="M111" s="563"/>
      <c r="N111" s="1153"/>
      <c r="O111" s="1153"/>
      <c r="P111" s="45"/>
      <c r="Q111" s="504"/>
    </row>
    <row r="112" spans="1:17" ht="14.5" thickTop="1">
      <c r="A112" s="599"/>
      <c r="B112" s="546">
        <f>B40</f>
        <v>111</v>
      </c>
      <c r="C112" s="523"/>
      <c r="D112" s="523"/>
      <c r="E112" s="523"/>
      <c r="F112" s="523"/>
      <c r="G112" s="587"/>
      <c r="H112" s="587"/>
      <c r="I112" s="587"/>
      <c r="J112" s="587"/>
      <c r="K112" s="523"/>
      <c r="L112" s="524"/>
      <c r="M112" s="590"/>
      <c r="N112" s="1152"/>
      <c r="O112" s="1152"/>
      <c r="P112" s="45"/>
      <c r="Q112" s="504"/>
    </row>
    <row r="113" spans="1:17" ht="14.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zoomScale="93" zoomScaleNormal="93" workbookViewId="0">
      <selection sqref="A1:XFD1048576"/>
    </sheetView>
  </sheetViews>
  <sheetFormatPr defaultColWidth="9" defaultRowHeight="14"/>
  <cols>
    <col min="1" max="1" width="10.453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5.453125" style="403" customWidth="1"/>
    <col min="10" max="10" width="12.1796875" style="403" customWidth="1"/>
    <col min="11" max="11" width="12.1796875" style="495" customWidth="1"/>
    <col min="12" max="12" width="12.1796875" style="496" customWidth="1"/>
    <col min="13" max="15" width="12.1796875" style="403" customWidth="1"/>
    <col min="16" max="16" width="4.81640625" style="112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8" customFormat="1" ht="28.5" customHeight="1" thickBot="1">
      <c r="A1" s="1617" t="s">
        <v>2701</v>
      </c>
      <c r="B1" s="1618"/>
      <c r="C1" s="1619" t="s">
        <v>2524</v>
      </c>
      <c r="D1" s="1620"/>
      <c r="E1" s="1621"/>
      <c r="F1" s="2584"/>
      <c r="G1" s="1622" t="s">
        <v>2637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2324</v>
      </c>
      <c r="B2" s="1418" t="e">
        <f ca="1">IF(C2="——",IF(B37="元/平方米",ROUND(C39*D3/10000,0),ROUND(F3*C39/10000,0)),IF(B37="元/平方米",ROUND(C39*D3/10000,0),ROUND(F3*C39/10000,0))-D2)</f>
        <v>#DIV/0!</v>
      </c>
      <c r="C2" s="2586"/>
      <c r="D2" s="1124" t="e">
        <f ca="1">SUMIF(INDIRECT("'"&amp;F2&amp;"'"&amp;"!A:A"),"承租人权益价值",INDIRECT("'"&amp;F2&amp;"'"&amp;"!c:c"))</f>
        <v>#REF!</v>
      </c>
      <c r="E2" s="2587" t="s">
        <v>2325</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2638</v>
      </c>
      <c r="D3" s="399">
        <f>SUMIF('数据-汇总表'!$C19:$C33,D1,'数据-汇总表'!$E19:$E33)</f>
        <v>0</v>
      </c>
      <c r="E3" s="400" t="s">
        <v>2702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c r="A4" s="401" t="s">
        <v>2639</v>
      </c>
      <c r="B4" s="402"/>
      <c r="C4" s="3174" t="s">
        <v>2640</v>
      </c>
      <c r="D4" s="3187"/>
      <c r="E4" s="3188" t="s">
        <v>2641</v>
      </c>
      <c r="F4" s="3189"/>
      <c r="G4" s="3174" t="s">
        <v>2642</v>
      </c>
      <c r="H4" s="3187"/>
      <c r="I4" s="3174" t="s">
        <v>2643</v>
      </c>
      <c r="J4" s="3187"/>
      <c r="K4" s="610" t="s">
        <v>2644</v>
      </c>
      <c r="L4" s="1130"/>
      <c r="M4" s="1131"/>
      <c r="N4" s="1131"/>
      <c r="O4" s="1131"/>
      <c r="P4" s="3190" t="s">
        <v>2645</v>
      </c>
      <c r="Q4" s="3191"/>
      <c r="R4" s="3196" t="s">
        <v>2641</v>
      </c>
      <c r="S4" s="3197"/>
      <c r="T4" s="3196" t="s">
        <v>2642</v>
      </c>
      <c r="U4" s="3197"/>
      <c r="V4" s="3183" t="s">
        <v>2643</v>
      </c>
      <c r="W4" s="3183"/>
      <c r="X4" s="1812"/>
      <c r="Y4" s="3196" t="s">
        <v>2645</v>
      </c>
      <c r="Z4" s="3197"/>
      <c r="AA4" s="3184" t="s">
        <v>2641</v>
      </c>
      <c r="AB4" s="3185" t="s">
        <v>2642</v>
      </c>
      <c r="AC4" s="3184" t="s">
        <v>2643</v>
      </c>
    </row>
    <row r="5" spans="1:29">
      <c r="A5" s="404"/>
      <c r="B5" s="405"/>
      <c r="C5" s="3204" t="s">
        <v>2536</v>
      </c>
      <c r="D5" s="3205"/>
      <c r="E5" s="3211" t="s">
        <v>2537</v>
      </c>
      <c r="F5" s="3212"/>
      <c r="G5" s="3204" t="s">
        <v>2538</v>
      </c>
      <c r="H5" s="3205"/>
      <c r="I5" s="3204" t="s">
        <v>2539</v>
      </c>
      <c r="J5" s="3205"/>
      <c r="K5" s="610"/>
      <c r="L5" s="1130"/>
      <c r="M5" s="1131"/>
      <c r="N5" s="1131"/>
      <c r="O5" s="1131"/>
      <c r="P5" s="3192"/>
      <c r="Q5" s="3193"/>
      <c r="R5" s="3198"/>
      <c r="S5" s="3199"/>
      <c r="T5" s="3198"/>
      <c r="U5" s="3199"/>
      <c r="V5" s="3183"/>
      <c r="W5" s="3183"/>
      <c r="X5" s="1812"/>
      <c r="Y5" s="3198"/>
      <c r="Z5" s="3199"/>
      <c r="AA5" s="3185"/>
      <c r="AB5" s="3185"/>
      <c r="AC5" s="3185"/>
    </row>
    <row r="6" spans="1:29" ht="15" thickBot="1">
      <c r="A6" s="406"/>
      <c r="B6" s="407"/>
      <c r="C6" s="3202" t="s">
        <v>2540</v>
      </c>
      <c r="D6" s="3203"/>
      <c r="E6" s="3209" t="s">
        <v>2540</v>
      </c>
      <c r="F6" s="3210"/>
      <c r="G6" s="3202" t="s">
        <v>2540</v>
      </c>
      <c r="H6" s="3203"/>
      <c r="I6" s="3202" t="s">
        <v>2540</v>
      </c>
      <c r="J6" s="3203"/>
      <c r="K6" s="610" t="s">
        <v>2541</v>
      </c>
      <c r="L6" s="1130"/>
      <c r="M6" s="1131"/>
      <c r="N6" s="1131"/>
      <c r="O6" s="1131"/>
      <c r="P6" s="3194"/>
      <c r="Q6" s="3195"/>
      <c r="R6" s="3198"/>
      <c r="S6" s="3199"/>
      <c r="T6" s="3200"/>
      <c r="U6" s="3201"/>
      <c r="V6" s="3183"/>
      <c r="W6" s="3183"/>
      <c r="X6" s="1812"/>
      <c r="Y6" s="3200"/>
      <c r="Z6" s="3201"/>
      <c r="AA6" s="3186"/>
      <c r="AB6" s="3186"/>
      <c r="AC6" s="3186"/>
    </row>
    <row r="7" spans="1:29" s="117" customFormat="1" ht="14.5" thickBot="1">
      <c r="A7" s="408" t="s">
        <v>2542</v>
      </c>
      <c r="B7" s="409"/>
      <c r="C7" s="410">
        <f>'数据-取费表'!B2</f>
        <v>43879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6" t="s">
        <v>2543</v>
      </c>
      <c r="Q7" s="3208"/>
      <c r="R7" s="770" t="s">
        <v>17</v>
      </c>
      <c r="S7" s="771">
        <f t="shared" ref="S7:S14" si="0">F7</f>
        <v>0</v>
      </c>
      <c r="T7" s="770" t="s">
        <v>17</v>
      </c>
      <c r="U7" s="771">
        <f t="shared" ref="U7:U14" si="1">H7</f>
        <v>0</v>
      </c>
      <c r="V7" s="770" t="s">
        <v>17</v>
      </c>
      <c r="W7" s="771">
        <f t="shared" ref="W7:W14" si="2">J7</f>
        <v>0</v>
      </c>
      <c r="X7" s="772"/>
      <c r="Y7" s="3206" t="s">
        <v>2543</v>
      </c>
      <c r="Z7" s="3207"/>
      <c r="AA7" s="773" t="e">
        <f>D7/F7</f>
        <v>#DIV/0!</v>
      </c>
      <c r="AB7" s="773" t="e">
        <f>D7/H7</f>
        <v>#DIV/0!</v>
      </c>
      <c r="AC7" s="773" t="e">
        <f>D7/J7</f>
        <v>#DIV/0!</v>
      </c>
    </row>
    <row r="8" spans="1:29" s="117" customFormat="1" ht="14.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6" t="s">
        <v>2546</v>
      </c>
      <c r="Q8" s="3207"/>
      <c r="R8" s="770" t="s">
        <v>17</v>
      </c>
      <c r="S8" s="771">
        <f t="shared" si="0"/>
        <v>0</v>
      </c>
      <c r="T8" s="770" t="s">
        <v>17</v>
      </c>
      <c r="U8" s="771">
        <f t="shared" si="1"/>
        <v>0</v>
      </c>
      <c r="V8" s="770" t="s">
        <v>17</v>
      </c>
      <c r="W8" s="771">
        <f t="shared" si="2"/>
        <v>0</v>
      </c>
      <c r="X8" s="772"/>
      <c r="Y8" s="3206" t="s">
        <v>2546</v>
      </c>
      <c r="Z8" s="3207"/>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7" t="s">
        <v>2549</v>
      </c>
      <c r="Q9" s="1794" t="str">
        <f t="shared" ref="Q9:Q14" si="6">B9</f>
        <v>用途</v>
      </c>
      <c r="R9" s="770" t="s">
        <v>17</v>
      </c>
      <c r="S9" s="771">
        <f t="shared" si="0"/>
        <v>100</v>
      </c>
      <c r="T9" s="770" t="s">
        <v>17</v>
      </c>
      <c r="U9" s="771">
        <f t="shared" si="1"/>
        <v>100</v>
      </c>
      <c r="V9" s="770" t="s">
        <v>17</v>
      </c>
      <c r="W9" s="771">
        <f t="shared" si="2"/>
        <v>100</v>
      </c>
      <c r="X9" s="772"/>
      <c r="Y9" s="3024" t="s">
        <v>2550</v>
      </c>
      <c r="Z9" s="55" t="str">
        <f t="shared" ref="Z9:Z14" si="7">Q9</f>
        <v>用途</v>
      </c>
      <c r="AA9" s="773">
        <f t="shared" si="3"/>
        <v>1</v>
      </c>
      <c r="AB9" s="773">
        <f t="shared" si="4"/>
        <v>1</v>
      </c>
      <c r="AC9" s="773">
        <f t="shared" si="5"/>
        <v>1</v>
      </c>
    </row>
    <row r="10" spans="1:29" s="427" customFormat="1" ht="28">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7"/>
      <c r="Q10" s="1794"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7"/>
      <c r="Q11" s="1794">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7"/>
      <c r="Q12" s="1794">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7"/>
      <c r="Q13" s="1794">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98">
      <c r="A14" s="401" t="s">
        <v>2553</v>
      </c>
      <c r="B14" s="629" t="s">
        <v>2703</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9" t="s">
        <v>2554</v>
      </c>
      <c r="Q14" s="1809" t="str">
        <f t="shared" si="6"/>
        <v>交通便捷度</v>
      </c>
      <c r="R14" s="774" t="s">
        <v>17</v>
      </c>
      <c r="S14" s="775">
        <f t="shared" si="0"/>
        <v>100</v>
      </c>
      <c r="T14" s="774" t="s">
        <v>17</v>
      </c>
      <c r="U14" s="775">
        <f t="shared" si="1"/>
        <v>100</v>
      </c>
      <c r="V14" s="774" t="s">
        <v>17</v>
      </c>
      <c r="W14" s="775">
        <f t="shared" si="2"/>
        <v>100</v>
      </c>
      <c r="X14" s="1812"/>
      <c r="Y14" s="3179" t="s">
        <v>2554</v>
      </c>
      <c r="Z14" s="1813" t="str">
        <f t="shared" si="7"/>
        <v>交通便捷度</v>
      </c>
      <c r="AA14" s="1810">
        <f t="shared" si="3"/>
        <v>1</v>
      </c>
      <c r="AB14" s="1810">
        <f t="shared" si="4"/>
        <v>1</v>
      </c>
      <c r="AC14" s="1810">
        <f t="shared" si="5"/>
        <v>1</v>
      </c>
    </row>
    <row r="15" spans="1:29" ht="15.5">
      <c r="A15" s="404"/>
      <c r="B15" s="647"/>
      <c r="C15" s="447"/>
      <c r="D15" s="448"/>
      <c r="E15" s="447"/>
      <c r="F15" s="449"/>
      <c r="G15" s="447"/>
      <c r="H15" s="450"/>
      <c r="I15" s="447"/>
      <c r="J15" s="448"/>
      <c r="K15" s="615"/>
      <c r="L15" s="1140"/>
      <c r="M15" s="1131"/>
      <c r="N15" s="1131"/>
      <c r="O15" s="1131"/>
      <c r="P15" s="3180"/>
      <c r="Q15" s="1809"/>
      <c r="R15" s="774"/>
      <c r="S15" s="775"/>
      <c r="T15" s="774"/>
      <c r="U15" s="775"/>
      <c r="V15" s="774"/>
      <c r="W15" s="775"/>
      <c r="X15" s="1812"/>
      <c r="Y15" s="3180"/>
      <c r="Z15" s="1813"/>
      <c r="AA15" s="1810">
        <v>1</v>
      </c>
      <c r="AB15" s="1810">
        <v>1</v>
      </c>
      <c r="AC15" s="1810">
        <v>1</v>
      </c>
    </row>
    <row r="16" spans="1:29" ht="42">
      <c r="A16" s="404"/>
      <c r="B16" s="631" t="s">
        <v>2682</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0"/>
      <c r="Q16" s="1809" t="str">
        <f>B16</f>
        <v>公共配套设施</v>
      </c>
      <c r="R16" s="774" t="s">
        <v>17</v>
      </c>
      <c r="S16" s="775">
        <f>F16</f>
        <v>100</v>
      </c>
      <c r="T16" s="774" t="s">
        <v>17</v>
      </c>
      <c r="U16" s="775">
        <f>H16</f>
        <v>100</v>
      </c>
      <c r="V16" s="774" t="s">
        <v>17</v>
      </c>
      <c r="W16" s="775">
        <f>J16</f>
        <v>100</v>
      </c>
      <c r="X16" s="1812"/>
      <c r="Y16" s="3180"/>
      <c r="Z16" s="1813" t="str">
        <f>Q16</f>
        <v>公共配套设施</v>
      </c>
      <c r="AA16" s="1810">
        <f t="shared" si="3"/>
        <v>1</v>
      </c>
      <c r="AB16" s="1810">
        <f t="shared" si="4"/>
        <v>1</v>
      </c>
      <c r="AC16" s="1810">
        <f t="shared" si="5"/>
        <v>1</v>
      </c>
    </row>
    <row r="17" spans="1:29" ht="15.5">
      <c r="A17" s="404"/>
      <c r="B17" s="632"/>
      <c r="C17" s="2608"/>
      <c r="D17" s="448"/>
      <c r="E17" s="447"/>
      <c r="F17" s="449"/>
      <c r="G17" s="447"/>
      <c r="H17" s="448"/>
      <c r="I17" s="447"/>
      <c r="J17" s="448"/>
      <c r="K17" s="615"/>
      <c r="L17" s="1140"/>
      <c r="M17" s="1131"/>
      <c r="N17" s="1131"/>
      <c r="O17" s="1131"/>
      <c r="P17" s="3180"/>
      <c r="Q17" s="1809"/>
      <c r="R17" s="774"/>
      <c r="S17" s="775"/>
      <c r="T17" s="774"/>
      <c r="U17" s="775"/>
      <c r="V17" s="774"/>
      <c r="W17" s="775"/>
      <c r="X17" s="1812"/>
      <c r="Y17" s="3180"/>
      <c r="Z17" s="1813"/>
      <c r="AA17" s="1810">
        <v>1</v>
      </c>
      <c r="AB17" s="1810">
        <v>1</v>
      </c>
      <c r="AC17" s="1810">
        <v>1</v>
      </c>
    </row>
    <row r="18" spans="1:29" ht="42">
      <c r="A18" s="404"/>
      <c r="B18" s="633" t="s">
        <v>2683</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0"/>
      <c r="Q18" s="1809" t="str">
        <f>B18</f>
        <v>基础设施水平</v>
      </c>
      <c r="R18" s="774" t="s">
        <v>17</v>
      </c>
      <c r="S18" s="775">
        <f>F18</f>
        <v>100</v>
      </c>
      <c r="T18" s="774" t="s">
        <v>17</v>
      </c>
      <c r="U18" s="775">
        <f>H18</f>
        <v>100</v>
      </c>
      <c r="V18" s="774" t="s">
        <v>17</v>
      </c>
      <c r="W18" s="775">
        <f>J18</f>
        <v>100</v>
      </c>
      <c r="X18" s="1812"/>
      <c r="Y18" s="3180"/>
      <c r="Z18" s="1813" t="str">
        <f>Q18</f>
        <v>基础设施水平</v>
      </c>
      <c r="AA18" s="1810">
        <f>D18/F18</f>
        <v>1</v>
      </c>
      <c r="AB18" s="1810">
        <f>D18/H18</f>
        <v>1</v>
      </c>
      <c r="AC18" s="1810">
        <f>D18/J18</f>
        <v>1</v>
      </c>
    </row>
    <row r="19" spans="1:29" ht="15.5">
      <c r="A19" s="404"/>
      <c r="B19" s="633"/>
      <c r="C19" s="2608"/>
      <c r="D19" s="450"/>
      <c r="E19" s="2608"/>
      <c r="F19" s="453"/>
      <c r="G19" s="2608"/>
      <c r="H19" s="448"/>
      <c r="I19" s="447"/>
      <c r="J19" s="448"/>
      <c r="K19" s="1383"/>
      <c r="L19" s="1140"/>
      <c r="M19" s="1131"/>
      <c r="N19" s="1131"/>
      <c r="O19" s="1131"/>
      <c r="P19" s="3180"/>
      <c r="Q19" s="1809"/>
      <c r="R19" s="774"/>
      <c r="S19" s="775"/>
      <c r="T19" s="774"/>
      <c r="U19" s="775"/>
      <c r="V19" s="774"/>
      <c r="W19" s="775"/>
      <c r="X19" s="1812"/>
      <c r="Y19" s="3180"/>
      <c r="Z19" s="1813"/>
      <c r="AA19" s="1810">
        <v>1</v>
      </c>
      <c r="AB19" s="1810">
        <v>1</v>
      </c>
      <c r="AC19" s="1810">
        <v>1</v>
      </c>
    </row>
    <row r="20" spans="1:29" ht="56">
      <c r="A20" s="404"/>
      <c r="B20" s="631" t="s">
        <v>2704</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0"/>
      <c r="Q20" s="1809" t="str">
        <f>B20</f>
        <v>自然及人文环境</v>
      </c>
      <c r="R20" s="774" t="s">
        <v>17</v>
      </c>
      <c r="S20" s="775">
        <f>F20</f>
        <v>100</v>
      </c>
      <c r="T20" s="774" t="s">
        <v>17</v>
      </c>
      <c r="U20" s="775">
        <f>H20</f>
        <v>100</v>
      </c>
      <c r="V20" s="774" t="s">
        <v>17</v>
      </c>
      <c r="W20" s="775">
        <f>J20</f>
        <v>100</v>
      </c>
      <c r="X20" s="1812"/>
      <c r="Y20" s="3180"/>
      <c r="Z20" s="1813" t="str">
        <f>Q20</f>
        <v>自然及人文环境</v>
      </c>
      <c r="AA20" s="1810">
        <f t="shared" si="3"/>
        <v>1</v>
      </c>
      <c r="AB20" s="1810">
        <f t="shared" si="4"/>
        <v>1</v>
      </c>
      <c r="AC20" s="1810">
        <f t="shared" si="5"/>
        <v>1</v>
      </c>
    </row>
    <row r="21" spans="1:29" ht="15.5">
      <c r="A21" s="404"/>
      <c r="B21" s="632"/>
      <c r="C21" s="447"/>
      <c r="D21" s="448"/>
      <c r="E21" s="447"/>
      <c r="F21" s="449"/>
      <c r="G21" s="447"/>
      <c r="H21" s="448"/>
      <c r="I21" s="447"/>
      <c r="J21" s="448"/>
      <c r="K21" s="615"/>
      <c r="L21" s="1140"/>
      <c r="M21" s="1131"/>
      <c r="N21" s="1131"/>
      <c r="O21" s="1131"/>
      <c r="P21" s="3180"/>
      <c r="Q21" s="1809"/>
      <c r="R21" s="774"/>
      <c r="S21" s="775"/>
      <c r="T21" s="774"/>
      <c r="U21" s="775"/>
      <c r="V21" s="774"/>
      <c r="W21" s="775"/>
      <c r="X21" s="1812"/>
      <c r="Y21" s="3180"/>
      <c r="Z21" s="1813"/>
      <c r="AA21" s="1810">
        <v>1</v>
      </c>
      <c r="AB21" s="1810">
        <v>1</v>
      </c>
      <c r="AC21" s="1810">
        <v>1</v>
      </c>
    </row>
    <row r="22" spans="1:29" ht="15.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0"/>
      <c r="Q22" s="1809" t="str">
        <f>B22</f>
        <v>楼层</v>
      </c>
      <c r="R22" s="774" t="s">
        <v>17</v>
      </c>
      <c r="S22" s="775">
        <f>F22</f>
        <v>100</v>
      </c>
      <c r="T22" s="774" t="s">
        <v>17</v>
      </c>
      <c r="U22" s="775">
        <f>H22</f>
        <v>100</v>
      </c>
      <c r="V22" s="774" t="s">
        <v>17</v>
      </c>
      <c r="W22" s="775">
        <f>J22</f>
        <v>100</v>
      </c>
      <c r="X22" s="1812"/>
      <c r="Y22" s="3180"/>
      <c r="Z22" s="1813" t="str">
        <f>Q22</f>
        <v>楼层</v>
      </c>
      <c r="AA22" s="1810">
        <f t="shared" si="3"/>
        <v>1</v>
      </c>
      <c r="AB22" s="1810">
        <f t="shared" si="4"/>
        <v>1</v>
      </c>
      <c r="AC22" s="1810">
        <f t="shared" si="5"/>
        <v>1</v>
      </c>
    </row>
    <row r="23" spans="1:29" ht="15.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0"/>
      <c r="Q23" s="1809">
        <f>B23</f>
        <v>111</v>
      </c>
      <c r="R23" s="774" t="s">
        <v>17</v>
      </c>
      <c r="S23" s="775">
        <f>F23</f>
        <v>100</v>
      </c>
      <c r="T23" s="774" t="s">
        <v>17</v>
      </c>
      <c r="U23" s="775">
        <f>H23</f>
        <v>100</v>
      </c>
      <c r="V23" s="774" t="s">
        <v>17</v>
      </c>
      <c r="W23" s="775">
        <f>J23</f>
        <v>100</v>
      </c>
      <c r="X23" s="1812"/>
      <c r="Y23" s="3180"/>
      <c r="Z23" s="1813">
        <f>Q23</f>
        <v>111</v>
      </c>
      <c r="AA23" s="1810">
        <f t="shared" si="3"/>
        <v>1</v>
      </c>
      <c r="AB23" s="1810">
        <f t="shared" si="4"/>
        <v>1</v>
      </c>
      <c r="AC23" s="1810">
        <f t="shared" si="5"/>
        <v>1</v>
      </c>
    </row>
    <row r="24" spans="1:29" ht="15.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0"/>
      <c r="Q24" s="1809">
        <f t="shared" ref="Q24:Q36" si="8">B24</f>
        <v>111</v>
      </c>
      <c r="R24" s="774" t="s">
        <v>17</v>
      </c>
      <c r="S24" s="775">
        <f>F24</f>
        <v>100</v>
      </c>
      <c r="T24" s="774" t="s">
        <v>17</v>
      </c>
      <c r="U24" s="775">
        <f>H24</f>
        <v>100</v>
      </c>
      <c r="V24" s="774" t="s">
        <v>17</v>
      </c>
      <c r="W24" s="775">
        <f>J24</f>
        <v>100</v>
      </c>
      <c r="X24" s="1812"/>
      <c r="Y24" s="3180"/>
      <c r="Z24" s="1813">
        <f>Q24</f>
        <v>111</v>
      </c>
      <c r="AA24" s="1810">
        <f t="shared" si="3"/>
        <v>1</v>
      </c>
      <c r="AB24" s="1810">
        <f t="shared" si="4"/>
        <v>1</v>
      </c>
      <c r="AC24" s="1810">
        <f t="shared" si="5"/>
        <v>1</v>
      </c>
    </row>
    <row r="25" spans="1:29" s="117" customFormat="1" ht="1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0"/>
      <c r="Q25" s="1794">
        <f t="shared" si="8"/>
        <v>111</v>
      </c>
      <c r="R25" s="770" t="s">
        <v>17</v>
      </c>
      <c r="S25" s="771">
        <f>F25</f>
        <v>100</v>
      </c>
      <c r="T25" s="770" t="s">
        <v>17</v>
      </c>
      <c r="U25" s="771">
        <f>H25</f>
        <v>100</v>
      </c>
      <c r="V25" s="770" t="s">
        <v>17</v>
      </c>
      <c r="W25" s="771">
        <f>J25</f>
        <v>100</v>
      </c>
      <c r="X25" s="772"/>
      <c r="Y25" s="3180"/>
      <c r="Z25" s="55">
        <f>Q25</f>
        <v>111</v>
      </c>
      <c r="AA25" s="1810">
        <f>D25/F25</f>
        <v>1</v>
      </c>
      <c r="AB25" s="1810">
        <f>D25/H25</f>
        <v>1</v>
      </c>
      <c r="AC25" s="1810">
        <f>D25/J25</f>
        <v>1</v>
      </c>
    </row>
    <row r="26" spans="1:29" ht="29">
      <c r="A26" s="652" t="s">
        <v>2557</v>
      </c>
      <c r="B26" s="70" t="s">
        <v>2706</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1" t="s">
        <v>2559</v>
      </c>
      <c r="Q26" s="1809" t="str">
        <f t="shared" si="8"/>
        <v>配套类型</v>
      </c>
      <c r="R26" s="774" t="s">
        <v>17</v>
      </c>
      <c r="S26" s="775">
        <f t="shared" ref="S26:S36" si="9">F26</f>
        <v>100</v>
      </c>
      <c r="T26" s="774" t="s">
        <v>17</v>
      </c>
      <c r="U26" s="775">
        <f t="shared" ref="U26:U36" si="10">H26</f>
        <v>100</v>
      </c>
      <c r="V26" s="774" t="s">
        <v>17</v>
      </c>
      <c r="W26" s="775">
        <f t="shared" ref="W26:W36" si="11">J26</f>
        <v>100</v>
      </c>
      <c r="X26" s="1812"/>
      <c r="Y26" s="3182" t="s">
        <v>2559</v>
      </c>
      <c r="Z26" s="1813" t="str">
        <f t="shared" ref="Z26:Z36" si="12">Q26</f>
        <v>配套类型</v>
      </c>
      <c r="AA26" s="1810">
        <f t="shared" si="3"/>
        <v>1</v>
      </c>
      <c r="AB26" s="1810">
        <f t="shared" si="4"/>
        <v>1</v>
      </c>
      <c r="AC26" s="1810">
        <f t="shared" si="5"/>
        <v>1</v>
      </c>
    </row>
    <row r="27" spans="1:29" s="471" customFormat="1" ht="15.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2"/>
      <c r="Q27" s="776" t="str">
        <f t="shared" si="8"/>
        <v>项目停车位配比</v>
      </c>
      <c r="R27" s="777" t="s">
        <v>17</v>
      </c>
      <c r="S27" s="778">
        <f t="shared" si="9"/>
        <v>100</v>
      </c>
      <c r="T27" s="777" t="s">
        <v>17</v>
      </c>
      <c r="U27" s="778">
        <f t="shared" si="10"/>
        <v>100</v>
      </c>
      <c r="V27" s="777" t="s">
        <v>17</v>
      </c>
      <c r="W27" s="778">
        <f t="shared" si="11"/>
        <v>100</v>
      </c>
      <c r="X27" s="779"/>
      <c r="Y27" s="3182"/>
      <c r="Z27" s="780" t="str">
        <f t="shared" si="12"/>
        <v>项目停车位配比</v>
      </c>
      <c r="AA27" s="1810">
        <f t="shared" si="3"/>
        <v>1</v>
      </c>
      <c r="AB27" s="1810">
        <f t="shared" si="4"/>
        <v>1</v>
      </c>
      <c r="AC27" s="1810">
        <f t="shared" si="5"/>
        <v>1</v>
      </c>
    </row>
    <row r="28" spans="1:29" ht="15.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2"/>
      <c r="Q28" s="1809" t="str">
        <f t="shared" si="8"/>
        <v>公共部分装修</v>
      </c>
      <c r="R28" s="774" t="s">
        <v>17</v>
      </c>
      <c r="S28" s="775">
        <f t="shared" si="9"/>
        <v>100</v>
      </c>
      <c r="T28" s="774" t="s">
        <v>17</v>
      </c>
      <c r="U28" s="775">
        <f t="shared" si="10"/>
        <v>100</v>
      </c>
      <c r="V28" s="774" t="s">
        <v>17</v>
      </c>
      <c r="W28" s="775">
        <f t="shared" si="11"/>
        <v>100</v>
      </c>
      <c r="X28" s="1812"/>
      <c r="Y28" s="3182"/>
      <c r="Z28" s="1813" t="str">
        <f t="shared" si="12"/>
        <v>公共部分装修</v>
      </c>
      <c r="AA28" s="1810">
        <f t="shared" si="3"/>
        <v>1</v>
      </c>
      <c r="AB28" s="1810">
        <f t="shared" si="4"/>
        <v>1</v>
      </c>
      <c r="AC28" s="1810">
        <f t="shared" si="5"/>
        <v>1</v>
      </c>
    </row>
    <row r="29" spans="1:29" ht="15.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2"/>
      <c r="Q29" s="1809" t="str">
        <f t="shared" si="8"/>
        <v>成新率</v>
      </c>
      <c r="R29" s="774" t="s">
        <v>17</v>
      </c>
      <c r="S29" s="775" t="e">
        <f t="shared" si="9"/>
        <v>#N/A</v>
      </c>
      <c r="T29" s="774" t="s">
        <v>17</v>
      </c>
      <c r="U29" s="775" t="e">
        <f t="shared" si="10"/>
        <v>#N/A</v>
      </c>
      <c r="V29" s="774" t="s">
        <v>17</v>
      </c>
      <c r="W29" s="775" t="e">
        <f t="shared" si="11"/>
        <v>#N/A</v>
      </c>
      <c r="X29" s="1812"/>
      <c r="Y29" s="3182"/>
      <c r="Z29" s="1813" t="str">
        <f t="shared" si="12"/>
        <v>成新率</v>
      </c>
      <c r="AA29" s="1810" t="e">
        <f t="shared" si="3"/>
        <v>#N/A</v>
      </c>
      <c r="AB29" s="1810" t="e">
        <f t="shared" si="4"/>
        <v>#N/A</v>
      </c>
      <c r="AC29" s="1810" t="e">
        <f t="shared" si="5"/>
        <v>#N/A</v>
      </c>
    </row>
    <row r="30" spans="1:29" ht="15.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2"/>
      <c r="Q30" s="1809" t="str">
        <f t="shared" si="8"/>
        <v>物业等级</v>
      </c>
      <c r="R30" s="774" t="s">
        <v>17</v>
      </c>
      <c r="S30" s="775">
        <f t="shared" si="9"/>
        <v>100</v>
      </c>
      <c r="T30" s="774" t="s">
        <v>17</v>
      </c>
      <c r="U30" s="775">
        <f t="shared" si="10"/>
        <v>100</v>
      </c>
      <c r="V30" s="774" t="s">
        <v>17</v>
      </c>
      <c r="W30" s="775">
        <f t="shared" si="11"/>
        <v>100</v>
      </c>
      <c r="X30" s="1812"/>
      <c r="Y30" s="3182"/>
      <c r="Z30" s="1813" t="str">
        <f t="shared" si="12"/>
        <v>物业等级</v>
      </c>
      <c r="AA30" s="1810">
        <f t="shared" si="3"/>
        <v>1</v>
      </c>
      <c r="AB30" s="1810">
        <f t="shared" si="4"/>
        <v>1</v>
      </c>
      <c r="AC30" s="1810">
        <f t="shared" si="5"/>
        <v>1</v>
      </c>
    </row>
    <row r="31" spans="1:29" s="117" customFormat="1" ht="15.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2"/>
      <c r="Q31" s="1794" t="str">
        <f t="shared" si="8"/>
        <v>停车位面积</v>
      </c>
      <c r="R31" s="770" t="s">
        <v>17</v>
      </c>
      <c r="S31" s="771" t="e">
        <f t="shared" si="9"/>
        <v>#N/A</v>
      </c>
      <c r="T31" s="770" t="s">
        <v>17</v>
      </c>
      <c r="U31" s="771" t="e">
        <f t="shared" si="10"/>
        <v>#N/A</v>
      </c>
      <c r="V31" s="770" t="s">
        <v>17</v>
      </c>
      <c r="W31" s="771" t="e">
        <f t="shared" si="11"/>
        <v>#N/A</v>
      </c>
      <c r="X31" s="772"/>
      <c r="Y31" s="3182"/>
      <c r="Z31" s="55" t="str">
        <f t="shared" si="12"/>
        <v>停车位面积</v>
      </c>
      <c r="AA31" s="773" t="e">
        <f t="shared" si="3"/>
        <v>#N/A</v>
      </c>
      <c r="AB31" s="773" t="e">
        <f t="shared" si="4"/>
        <v>#N/A</v>
      </c>
      <c r="AC31" s="773" t="e">
        <f t="shared" si="5"/>
        <v>#N/A</v>
      </c>
    </row>
    <row r="32" spans="1:29" ht="15.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2" t="s">
        <v>2559</v>
      </c>
      <c r="Q32" s="1809" t="str">
        <f t="shared" si="8"/>
        <v>车位类型</v>
      </c>
      <c r="R32" s="774" t="s">
        <v>17</v>
      </c>
      <c r="S32" s="775">
        <f t="shared" si="9"/>
        <v>100</v>
      </c>
      <c r="T32" s="774" t="s">
        <v>17</v>
      </c>
      <c r="U32" s="775">
        <f t="shared" si="10"/>
        <v>100</v>
      </c>
      <c r="V32" s="774" t="s">
        <v>17</v>
      </c>
      <c r="W32" s="775">
        <f t="shared" si="11"/>
        <v>100</v>
      </c>
      <c r="X32" s="1812"/>
      <c r="Y32" s="3182" t="s">
        <v>2559</v>
      </c>
      <c r="Z32" s="1813" t="str">
        <f t="shared" si="12"/>
        <v>车位类型</v>
      </c>
      <c r="AA32" s="1810">
        <f t="shared" si="3"/>
        <v>1</v>
      </c>
      <c r="AB32" s="1810">
        <f t="shared" si="4"/>
        <v>1</v>
      </c>
      <c r="AC32" s="1810">
        <f t="shared" si="5"/>
        <v>1</v>
      </c>
    </row>
    <row r="33" spans="1:29" ht="15.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2"/>
      <c r="Q33" s="1809" t="str">
        <f t="shared" si="8"/>
        <v>是否直接入户</v>
      </c>
      <c r="R33" s="774" t="s">
        <v>17</v>
      </c>
      <c r="S33" s="775">
        <f t="shared" si="9"/>
        <v>100</v>
      </c>
      <c r="T33" s="774" t="s">
        <v>17</v>
      </c>
      <c r="U33" s="775">
        <f t="shared" si="10"/>
        <v>100</v>
      </c>
      <c r="V33" s="774" t="s">
        <v>17</v>
      </c>
      <c r="W33" s="775">
        <f t="shared" si="11"/>
        <v>100</v>
      </c>
      <c r="X33" s="1812"/>
      <c r="Y33" s="3182"/>
      <c r="Z33" s="1813" t="str">
        <f t="shared" si="12"/>
        <v>是否直接入户</v>
      </c>
      <c r="AA33" s="1810">
        <f t="shared" si="3"/>
        <v>1</v>
      </c>
      <c r="AB33" s="1810">
        <f t="shared" si="4"/>
        <v>1</v>
      </c>
      <c r="AC33" s="1810">
        <f t="shared" si="5"/>
        <v>1</v>
      </c>
    </row>
    <row r="34" spans="1:29" ht="15.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2"/>
      <c r="Q34" s="1809">
        <f t="shared" si="8"/>
        <v>111</v>
      </c>
      <c r="R34" s="774" t="s">
        <v>17</v>
      </c>
      <c r="S34" s="775">
        <f t="shared" si="9"/>
        <v>100</v>
      </c>
      <c r="T34" s="774" t="s">
        <v>17</v>
      </c>
      <c r="U34" s="775">
        <f t="shared" si="10"/>
        <v>100</v>
      </c>
      <c r="V34" s="774" t="s">
        <v>17</v>
      </c>
      <c r="W34" s="775">
        <f t="shared" si="11"/>
        <v>100</v>
      </c>
      <c r="X34" s="1812"/>
      <c r="Y34" s="3182"/>
      <c r="Z34" s="1813">
        <f t="shared" si="12"/>
        <v>111</v>
      </c>
      <c r="AA34" s="1810">
        <f t="shared" si="3"/>
        <v>1</v>
      </c>
      <c r="AB34" s="1810">
        <f t="shared" si="4"/>
        <v>1</v>
      </c>
      <c r="AC34" s="1810">
        <f t="shared" si="5"/>
        <v>1</v>
      </c>
    </row>
    <row r="35" spans="1:29" s="471" customFormat="1" ht="15.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2"/>
      <c r="Q35" s="776">
        <f t="shared" si="8"/>
        <v>111</v>
      </c>
      <c r="R35" s="777" t="s">
        <v>17</v>
      </c>
      <c r="S35" s="778">
        <f t="shared" si="9"/>
        <v>100</v>
      </c>
      <c r="T35" s="777" t="s">
        <v>17</v>
      </c>
      <c r="U35" s="778">
        <f t="shared" si="10"/>
        <v>100</v>
      </c>
      <c r="V35" s="777" t="s">
        <v>17</v>
      </c>
      <c r="W35" s="778">
        <f t="shared" si="11"/>
        <v>100</v>
      </c>
      <c r="X35" s="779"/>
      <c r="Y35" s="3182"/>
      <c r="Z35" s="780">
        <f t="shared" si="12"/>
        <v>111</v>
      </c>
      <c r="AA35" s="1810">
        <f t="shared" si="3"/>
        <v>1</v>
      </c>
      <c r="AB35" s="1810">
        <f t="shared" si="4"/>
        <v>1</v>
      </c>
      <c r="AC35" s="1810">
        <f t="shared" si="5"/>
        <v>1</v>
      </c>
    </row>
    <row r="36" spans="1:29" ht="1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2"/>
      <c r="Q36" s="1809">
        <f t="shared" si="8"/>
        <v>111</v>
      </c>
      <c r="R36" s="774" t="s">
        <v>17</v>
      </c>
      <c r="S36" s="775">
        <f t="shared" si="9"/>
        <v>100</v>
      </c>
      <c r="T36" s="774" t="s">
        <v>17</v>
      </c>
      <c r="U36" s="775">
        <f t="shared" si="10"/>
        <v>100</v>
      </c>
      <c r="V36" s="774" t="s">
        <v>17</v>
      </c>
      <c r="W36" s="775">
        <f t="shared" si="11"/>
        <v>100</v>
      </c>
      <c r="X36" s="1812"/>
      <c r="Y36" s="3182"/>
      <c r="Z36" s="1813">
        <f t="shared" si="12"/>
        <v>111</v>
      </c>
      <c r="AA36" s="1810">
        <f t="shared" si="3"/>
        <v>1</v>
      </c>
      <c r="AB36" s="1810">
        <f t="shared" si="4"/>
        <v>1</v>
      </c>
      <c r="AC36" s="1810">
        <f t="shared" si="5"/>
        <v>1</v>
      </c>
    </row>
    <row r="37" spans="1:29">
      <c r="A37" s="479" t="s">
        <v>2714</v>
      </c>
      <c r="B37" s="2695" t="s">
        <v>2715</v>
      </c>
      <c r="C37" s="1407" t="s">
        <v>1</v>
      </c>
      <c r="D37" s="1408"/>
      <c r="E37" s="1409"/>
      <c r="F37" s="1410"/>
      <c r="G37" s="1411"/>
      <c r="H37" s="1412"/>
      <c r="I37" s="1409"/>
      <c r="J37" s="1412"/>
      <c r="K37" s="619"/>
      <c r="L37" s="1143"/>
      <c r="M37" s="1144"/>
      <c r="N37" s="1131"/>
      <c r="O37" s="1144"/>
      <c r="P37" s="3177" t="str">
        <f>A37</f>
        <v>成交单价</v>
      </c>
      <c r="Q37" s="3177"/>
      <c r="R37" s="3241">
        <f>E37</f>
        <v>0</v>
      </c>
      <c r="S37" s="3241"/>
      <c r="T37" s="3241">
        <f>G37</f>
        <v>0</v>
      </c>
      <c r="U37" s="3241"/>
      <c r="V37" s="3241">
        <f>I37</f>
        <v>0</v>
      </c>
      <c r="W37" s="3241"/>
      <c r="X37" s="759"/>
      <c r="Y37" s="781"/>
      <c r="Z37" s="759"/>
      <c r="AA37" s="759"/>
      <c r="AB37" s="759"/>
      <c r="AC37" s="759"/>
    </row>
    <row r="38" spans="1:29" ht="14.5" thickBot="1">
      <c r="A38" s="486" t="s">
        <v>2716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7" t="str">
        <f>A38</f>
        <v>比较价值（元/平方米）</v>
      </c>
      <c r="Q38" s="3177"/>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759"/>
      <c r="Y38" s="759"/>
      <c r="Z38" s="759"/>
      <c r="AA38" s="759"/>
      <c r="AB38" s="759"/>
      <c r="AC38" s="759"/>
    </row>
    <row r="39" spans="1:29" ht="14.5" thickBot="1">
      <c r="A39" s="492" t="s">
        <v>2717</v>
      </c>
      <c r="B39" s="493"/>
      <c r="C39" s="1417" t="e">
        <f>R39</f>
        <v>#DIV/0!</v>
      </c>
      <c r="D39" s="1417"/>
      <c r="E39" s="1417"/>
      <c r="F39" s="1417"/>
      <c r="G39" s="1417"/>
      <c r="H39" s="1417"/>
      <c r="I39" s="1417"/>
      <c r="J39" s="1417"/>
      <c r="K39" s="621"/>
      <c r="L39" s="1143"/>
      <c r="M39" s="1144"/>
      <c r="N39" s="1144"/>
      <c r="O39" s="1144"/>
      <c r="P39" s="3171" t="str">
        <f>A39</f>
        <v>估价对象XX用房的比较价值（楼面单价，元/平方米）</v>
      </c>
      <c r="Q39" s="3172"/>
      <c r="R39" s="3240" t="e">
        <f>IF(F1="售价",ROUND(AVERAGE(R38:V38),0),ROUND(AVERAGE(R38:V38),1))</f>
        <v>#DIV/0!</v>
      </c>
      <c r="S39" s="3240"/>
      <c r="T39" s="3240"/>
      <c r="U39" s="3240"/>
      <c r="V39" s="3240"/>
      <c r="W39" s="324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5" thickBot="1">
      <c r="A47" s="1424" t="s">
        <v>2721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c r="A48" s="505" t="s">
        <v>2722</v>
      </c>
      <c r="B48" s="506"/>
      <c r="C48" s="1573" t="str">
        <f>YEAR(C7)&amp;"-"&amp;MONTH(C7)</f>
        <v>2020-2</v>
      </c>
      <c r="D48" s="1574">
        <f>EDATE(C48,-1)</f>
        <v>43831</v>
      </c>
      <c r="E48" s="1574">
        <f t="shared" ref="E48:O48" si="13">EDATE(D48,-1)</f>
        <v>43800</v>
      </c>
      <c r="F48" s="1574">
        <f t="shared" si="13"/>
        <v>43770</v>
      </c>
      <c r="G48" s="1574">
        <f t="shared" si="13"/>
        <v>43739</v>
      </c>
      <c r="H48" s="1574">
        <f t="shared" si="13"/>
        <v>43709</v>
      </c>
      <c r="I48" s="1574">
        <f t="shared" si="13"/>
        <v>43678</v>
      </c>
      <c r="J48" s="1574">
        <f t="shared" si="13"/>
        <v>43647</v>
      </c>
      <c r="K48" s="1574">
        <f t="shared" si="13"/>
        <v>43617</v>
      </c>
      <c r="L48" s="1574">
        <f t="shared" si="13"/>
        <v>43586</v>
      </c>
      <c r="M48" s="1574">
        <f t="shared" si="13"/>
        <v>43556</v>
      </c>
      <c r="N48" s="1574">
        <f t="shared" si="13"/>
        <v>43525</v>
      </c>
      <c r="O48" s="1574">
        <f t="shared" si="13"/>
        <v>43497</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4.5" thickBot="1">
      <c r="A50" s="515" t="s">
        <v>2579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c r="A51" s="521" t="s">
        <v>2544</v>
      </c>
      <c r="B51" s="510"/>
      <c r="C51" s="522" t="s">
        <v>2646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2582</v>
      </c>
      <c r="B53" s="528" t="s">
        <v>2548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8.5" thickTop="1">
      <c r="A55" s="534"/>
      <c r="B55" s="538" t="s">
        <v>2551</v>
      </c>
      <c r="C55" s="539" t="s">
        <v>2583</v>
      </c>
      <c r="D55" s="539" t="s">
        <v>2584</v>
      </c>
      <c r="E55" s="539" t="s">
        <v>2585</v>
      </c>
      <c r="F55" s="539" t="s">
        <v>2586</v>
      </c>
      <c r="G55" s="539" t="s">
        <v>2587</v>
      </c>
      <c r="H55" s="539" t="s">
        <v>2588</v>
      </c>
      <c r="I55" s="539" t="s">
        <v>2589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4.5" thickTop="1">
      <c r="A63" s="527" t="s">
        <v>2553</v>
      </c>
      <c r="B63" s="528" t="s">
        <v>2596</v>
      </c>
      <c r="C63" s="573" t="s">
        <v>2591</v>
      </c>
      <c r="D63" s="573" t="s">
        <v>2592</v>
      </c>
      <c r="E63" s="573" t="s">
        <v>2593</v>
      </c>
      <c r="F63" s="573" t="s">
        <v>2594</v>
      </c>
      <c r="G63" s="573" t="s">
        <v>2595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4.5" thickTop="1">
      <c r="A65" s="534"/>
      <c r="B65" s="538" t="s">
        <v>2597</v>
      </c>
      <c r="C65" s="578" t="s">
        <v>2591</v>
      </c>
      <c r="D65" s="578" t="s">
        <v>2592</v>
      </c>
      <c r="E65" s="578" t="s">
        <v>2593</v>
      </c>
      <c r="F65" s="578" t="s">
        <v>2594</v>
      </c>
      <c r="G65" s="578" t="s">
        <v>2595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4.5" thickTop="1">
      <c r="A67" s="534"/>
      <c r="B67" s="546" t="s">
        <v>2683</v>
      </c>
      <c r="C67" s="660" t="s">
        <v>2669</v>
      </c>
      <c r="D67" s="660" t="s">
        <v>2670</v>
      </c>
      <c r="E67" s="660" t="s">
        <v>2671</v>
      </c>
      <c r="F67" s="660" t="s">
        <v>2672</v>
      </c>
      <c r="G67" s="660" t="s">
        <v>2673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4.5" thickTop="1">
      <c r="A69" s="534"/>
      <c r="B69" s="538" t="s">
        <v>2603</v>
      </c>
      <c r="C69" s="578" t="s">
        <v>2591</v>
      </c>
      <c r="D69" s="578" t="s">
        <v>2592</v>
      </c>
      <c r="E69" s="578" t="s">
        <v>2593</v>
      </c>
      <c r="F69" s="578" t="s">
        <v>2594</v>
      </c>
      <c r="G69" s="578" t="s">
        <v>2595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4.5" thickTop="1">
      <c r="A71" s="534"/>
      <c r="B71" s="538" t="s">
        <v>2723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8.5" thickTop="1">
      <c r="A79" s="527" t="s">
        <v>2557</v>
      </c>
      <c r="B79" s="528" t="s">
        <v>2724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3"/>
      <c r="O80" s="1153"/>
      <c r="P80" s="1429"/>
      <c r="Q80" s="1423"/>
      <c r="R80" s="1144"/>
      <c r="S80" s="1144"/>
      <c r="T80" s="1144"/>
      <c r="U80" s="1144"/>
      <c r="V80" s="1144"/>
      <c r="W80" s="1144"/>
      <c r="X80" s="1144"/>
      <c r="Y80" s="1144"/>
      <c r="Z80" s="1144"/>
      <c r="AA80" s="1144"/>
      <c r="AB80" s="1144"/>
      <c r="AC80" s="1144"/>
    </row>
    <row r="81" spans="1:29" ht="14.5" thickTop="1">
      <c r="A81" s="534"/>
      <c r="B81" s="538" t="s">
        <v>2725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4.5" thickTop="1">
      <c r="A83" s="599"/>
      <c r="B83" s="538" t="s">
        <v>2610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3"/>
      <c r="O84" s="1153"/>
      <c r="P84" s="1429"/>
      <c r="Q84" s="1423"/>
      <c r="R84" s="1144"/>
      <c r="S84" s="1144"/>
      <c r="T84" s="1144"/>
      <c r="U84" s="1144"/>
      <c r="V84" s="1144"/>
      <c r="W84" s="1144"/>
      <c r="X84" s="1144"/>
      <c r="Y84" s="1144"/>
      <c r="Z84" s="1144"/>
      <c r="AA84" s="1144"/>
      <c r="AB84" s="1144"/>
      <c r="AC84" s="1144"/>
    </row>
    <row r="85" spans="1:29" ht="14.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1429"/>
      <c r="Q87" s="1423"/>
      <c r="R87" s="1144"/>
      <c r="S87" s="1144"/>
      <c r="T87" s="1144"/>
      <c r="U87" s="1144"/>
      <c r="V87" s="1144"/>
      <c r="W87" s="1144"/>
      <c r="X87" s="1144"/>
      <c r="Y87" s="1144"/>
      <c r="Z87" s="1144"/>
      <c r="AA87" s="1144"/>
      <c r="AB87" s="1144"/>
      <c r="AC87" s="1144"/>
    </row>
    <row r="88" spans="1:29" ht="14.5" thickTop="1">
      <c r="A88" s="599"/>
      <c r="B88" s="546" t="s">
        <v>2727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3"/>
      <c r="O89" s="1153"/>
      <c r="P89" s="1429"/>
      <c r="Q89" s="1423"/>
      <c r="R89" s="1144"/>
      <c r="S89" s="1144"/>
      <c r="T89" s="1144"/>
      <c r="U89" s="1144"/>
      <c r="V89" s="1144"/>
      <c r="W89" s="1144"/>
      <c r="X89" s="1144"/>
      <c r="Y89" s="1144"/>
      <c r="Z89" s="1144"/>
      <c r="AA89" s="1144"/>
      <c r="AB89" s="1144"/>
      <c r="AC89" s="1144"/>
    </row>
    <row r="90" spans="1:29" s="471" customFormat="1" ht="14.5" thickTop="1">
      <c r="A90" s="593"/>
      <c r="B90" s="538" t="s">
        <v>2728</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4.5" thickTop="1">
      <c r="A93" s="599"/>
      <c r="B93" s="538" t="s">
        <v>2729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3"/>
      <c r="O94" s="1153"/>
      <c r="P94" s="1429"/>
      <c r="Q94" s="1423"/>
      <c r="R94" s="1144"/>
      <c r="S94" s="1144"/>
      <c r="T94" s="1144"/>
      <c r="U94" s="1144"/>
      <c r="V94" s="1144"/>
      <c r="W94" s="1144"/>
      <c r="X94" s="1144"/>
      <c r="Y94" s="1144"/>
      <c r="Z94" s="1144"/>
      <c r="AA94" s="1144"/>
      <c r="AB94" s="1144"/>
      <c r="AC94" s="1144"/>
    </row>
    <row r="95" spans="1:29" ht="14.5" thickTop="1">
      <c r="A95" s="599"/>
      <c r="B95" s="538" t="s">
        <v>2730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241"/>
  <sheetViews>
    <sheetView zoomScale="89" zoomScaleNormal="89" workbookViewId="0">
      <selection sqref="A1:XFD1048576"/>
    </sheetView>
  </sheetViews>
  <sheetFormatPr defaultColWidth="9" defaultRowHeight="14"/>
  <cols>
    <col min="1" max="1" width="10.453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8" customFormat="1" ht="28.5" customHeight="1" thickBot="1">
      <c r="A1" s="1617" t="s">
        <v>2701</v>
      </c>
      <c r="B1" s="1618"/>
      <c r="C1" s="1619" t="s">
        <v>2524</v>
      </c>
      <c r="D1" s="1620"/>
      <c r="E1" s="1629"/>
      <c r="F1" s="2584"/>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8" t="e">
        <f ca="1">IF(C2="——",ROUND(C37*D3/10000,0),ROUND(C37*D3/10000,0)-D2)</f>
        <v>#DIV/0!</v>
      </c>
      <c r="C2" s="2586"/>
      <c r="D2" s="1124" t="e">
        <f ca="1">SUMIF(INDIRECT("'"&amp;F2&amp;"'"&amp;"!A:A"),"承租人权益价值",INDIRECT("'"&amp;F2&amp;"'"&amp;"!c:c"))</f>
        <v>#REF!</v>
      </c>
      <c r="E2" s="2587" t="s">
        <v>2325</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2638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2639</v>
      </c>
      <c r="B4" s="402"/>
      <c r="C4" s="3174" t="s">
        <v>2640</v>
      </c>
      <c r="D4" s="3187"/>
      <c r="E4" s="3188" t="s">
        <v>2641</v>
      </c>
      <c r="F4" s="3189"/>
      <c r="G4" s="3174" t="s">
        <v>2642</v>
      </c>
      <c r="H4" s="3187"/>
      <c r="I4" s="3174" t="s">
        <v>2643</v>
      </c>
      <c r="J4" s="3187"/>
      <c r="K4" s="610" t="s">
        <v>2644</v>
      </c>
      <c r="L4" s="1130"/>
      <c r="M4" s="1131"/>
      <c r="N4" s="1131"/>
      <c r="O4" s="1131"/>
      <c r="P4" s="3190" t="s">
        <v>2645</v>
      </c>
      <c r="Q4" s="3191"/>
      <c r="R4" s="3196" t="s">
        <v>2641</v>
      </c>
      <c r="S4" s="3197"/>
      <c r="T4" s="3196" t="s">
        <v>2642</v>
      </c>
      <c r="U4" s="3197"/>
      <c r="V4" s="3183" t="s">
        <v>2643</v>
      </c>
      <c r="W4" s="3183"/>
      <c r="X4" s="1812"/>
      <c r="Y4" s="3196" t="s">
        <v>2645</v>
      </c>
      <c r="Z4" s="3197"/>
      <c r="AA4" s="3184" t="s">
        <v>2641</v>
      </c>
      <c r="AB4" s="3185" t="s">
        <v>2642</v>
      </c>
      <c r="AC4" s="3184" t="s">
        <v>2643</v>
      </c>
    </row>
    <row r="5" spans="1:29">
      <c r="A5" s="404"/>
      <c r="B5" s="405"/>
      <c r="C5" s="3204" t="s">
        <v>2536</v>
      </c>
      <c r="D5" s="3205"/>
      <c r="E5" s="3211" t="s">
        <v>2537</v>
      </c>
      <c r="F5" s="3212"/>
      <c r="G5" s="3204" t="s">
        <v>2538</v>
      </c>
      <c r="H5" s="3205"/>
      <c r="I5" s="3204" t="s">
        <v>2539</v>
      </c>
      <c r="J5" s="3205"/>
      <c r="K5" s="610"/>
      <c r="L5" s="1130"/>
      <c r="M5" s="1131"/>
      <c r="N5" s="1131"/>
      <c r="O5" s="1131"/>
      <c r="P5" s="3192"/>
      <c r="Q5" s="3193"/>
      <c r="R5" s="3198"/>
      <c r="S5" s="3199"/>
      <c r="T5" s="3198"/>
      <c r="U5" s="3199"/>
      <c r="V5" s="3183"/>
      <c r="W5" s="3183"/>
      <c r="X5" s="1812"/>
      <c r="Y5" s="3198"/>
      <c r="Z5" s="3199"/>
      <c r="AA5" s="3185"/>
      <c r="AB5" s="3185"/>
      <c r="AC5" s="3185"/>
    </row>
    <row r="6" spans="1:29" ht="15" thickBot="1">
      <c r="A6" s="406"/>
      <c r="B6" s="407"/>
      <c r="C6" s="3202" t="s">
        <v>2540</v>
      </c>
      <c r="D6" s="3203"/>
      <c r="E6" s="3209" t="s">
        <v>2540</v>
      </c>
      <c r="F6" s="3210"/>
      <c r="G6" s="3202" t="s">
        <v>2540</v>
      </c>
      <c r="H6" s="3203"/>
      <c r="I6" s="3202" t="s">
        <v>2540</v>
      </c>
      <c r="J6" s="3203"/>
      <c r="K6" s="610" t="s">
        <v>2541</v>
      </c>
      <c r="L6" s="1130"/>
      <c r="M6" s="1131"/>
      <c r="N6" s="1131"/>
      <c r="O6" s="1131"/>
      <c r="P6" s="3194"/>
      <c r="Q6" s="3195"/>
      <c r="R6" s="3198"/>
      <c r="S6" s="3199"/>
      <c r="T6" s="3200"/>
      <c r="U6" s="3201"/>
      <c r="V6" s="3183"/>
      <c r="W6" s="3183"/>
      <c r="X6" s="1812"/>
      <c r="Y6" s="3200"/>
      <c r="Z6" s="3201"/>
      <c r="AA6" s="3186"/>
      <c r="AB6" s="3186"/>
      <c r="AC6" s="3186"/>
    </row>
    <row r="7" spans="1:29" s="117" customFormat="1" ht="14.5" thickBot="1">
      <c r="A7" s="408" t="s">
        <v>2542</v>
      </c>
      <c r="B7" s="409"/>
      <c r="C7" s="410">
        <f>'数据-取费表'!B2</f>
        <v>43879</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06" t="s">
        <v>2543</v>
      </c>
      <c r="Q7" s="3208"/>
      <c r="R7" s="770" t="s">
        <v>17</v>
      </c>
      <c r="S7" s="771">
        <f t="shared" ref="S7:S14" si="0">F7</f>
        <v>0</v>
      </c>
      <c r="T7" s="770" t="s">
        <v>17</v>
      </c>
      <c r="U7" s="771">
        <f t="shared" ref="U7:U14" si="1">H7</f>
        <v>0</v>
      </c>
      <c r="V7" s="770" t="s">
        <v>17</v>
      </c>
      <c r="W7" s="771">
        <f t="shared" ref="W7:W14" si="2">J7</f>
        <v>0</v>
      </c>
      <c r="X7" s="772"/>
      <c r="Y7" s="3206" t="s">
        <v>2543</v>
      </c>
      <c r="Z7" s="3207"/>
      <c r="AA7" s="773" t="e">
        <f>D7/F7</f>
        <v>#DIV/0!</v>
      </c>
      <c r="AB7" s="773" t="e">
        <f>D7/H7</f>
        <v>#DIV/0!</v>
      </c>
      <c r="AC7" s="773" t="e">
        <f>D7/J7</f>
        <v>#DIV/0!</v>
      </c>
    </row>
    <row r="8" spans="1:29" s="117" customFormat="1" ht="14.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6" t="s">
        <v>2546</v>
      </c>
      <c r="Q8" s="3207"/>
      <c r="R8" s="770" t="s">
        <v>17</v>
      </c>
      <c r="S8" s="771">
        <f t="shared" si="0"/>
        <v>0</v>
      </c>
      <c r="T8" s="770" t="s">
        <v>17</v>
      </c>
      <c r="U8" s="771">
        <f t="shared" si="1"/>
        <v>0</v>
      </c>
      <c r="V8" s="770" t="s">
        <v>17</v>
      </c>
      <c r="W8" s="771">
        <f t="shared" si="2"/>
        <v>0</v>
      </c>
      <c r="X8" s="772"/>
      <c r="Y8" s="3206" t="s">
        <v>2546</v>
      </c>
      <c r="Z8" s="3207"/>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7" t="s">
        <v>2549</v>
      </c>
      <c r="Q9" s="1794" t="str">
        <f t="shared" ref="Q9:Q14" si="6">B9</f>
        <v>用途</v>
      </c>
      <c r="R9" s="770" t="s">
        <v>17</v>
      </c>
      <c r="S9" s="771">
        <f t="shared" si="0"/>
        <v>100</v>
      </c>
      <c r="T9" s="770" t="s">
        <v>17</v>
      </c>
      <c r="U9" s="771">
        <f t="shared" si="1"/>
        <v>100</v>
      </c>
      <c r="V9" s="770" t="s">
        <v>17</v>
      </c>
      <c r="W9" s="771">
        <f t="shared" si="2"/>
        <v>100</v>
      </c>
      <c r="X9" s="772"/>
      <c r="Y9" s="3024" t="s">
        <v>2550</v>
      </c>
      <c r="Z9" s="55" t="str">
        <f t="shared" ref="Z9:Z14" si="7">Q9</f>
        <v>用途</v>
      </c>
      <c r="AA9" s="773">
        <f t="shared" si="3"/>
        <v>1</v>
      </c>
      <c r="AB9" s="773">
        <f t="shared" si="4"/>
        <v>1</v>
      </c>
      <c r="AC9" s="773">
        <f t="shared" si="5"/>
        <v>1</v>
      </c>
    </row>
    <row r="10" spans="1:29" s="427" customFormat="1" ht="28">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7"/>
      <c r="Q10" s="1794"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7"/>
      <c r="Q11" s="1794">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7"/>
      <c r="Q12" s="1794">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6"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77"/>
      <c r="Q13" s="1794">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98">
      <c r="A14" s="440" t="s">
        <v>2553</v>
      </c>
      <c r="B14" s="69" t="s">
        <v>2703</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9" t="s">
        <v>2554</v>
      </c>
      <c r="Q14" s="1809" t="str">
        <f t="shared" si="6"/>
        <v>交通便捷度</v>
      </c>
      <c r="R14" s="774" t="s">
        <v>17</v>
      </c>
      <c r="S14" s="775">
        <f t="shared" si="0"/>
        <v>100</v>
      </c>
      <c r="T14" s="774" t="s">
        <v>17</v>
      </c>
      <c r="U14" s="775">
        <f t="shared" si="1"/>
        <v>100</v>
      </c>
      <c r="V14" s="774" t="s">
        <v>17</v>
      </c>
      <c r="W14" s="775">
        <f t="shared" si="2"/>
        <v>100</v>
      </c>
      <c r="X14" s="1812"/>
      <c r="Y14" s="3179" t="s">
        <v>2554</v>
      </c>
      <c r="Z14" s="1813" t="str">
        <f t="shared" si="7"/>
        <v>交通便捷度</v>
      </c>
      <c r="AA14" s="1810">
        <f t="shared" si="3"/>
        <v>1</v>
      </c>
      <c r="AB14" s="1810">
        <f t="shared" si="4"/>
        <v>1</v>
      </c>
      <c r="AC14" s="1810">
        <f t="shared" si="5"/>
        <v>1</v>
      </c>
    </row>
    <row r="15" spans="1:29" ht="15.5">
      <c r="A15" s="428"/>
      <c r="B15" s="446"/>
      <c r="C15" s="447"/>
      <c r="D15" s="448"/>
      <c r="E15" s="447"/>
      <c r="F15" s="449"/>
      <c r="G15" s="447"/>
      <c r="H15" s="450"/>
      <c r="I15" s="447"/>
      <c r="J15" s="448"/>
      <c r="K15" s="615"/>
      <c r="L15" s="1140"/>
      <c r="M15" s="1131"/>
      <c r="N15" s="1131"/>
      <c r="O15" s="1139"/>
      <c r="P15" s="3180"/>
      <c r="Q15" s="1809"/>
      <c r="R15" s="774"/>
      <c r="S15" s="775"/>
      <c r="T15" s="774"/>
      <c r="U15" s="775"/>
      <c r="V15" s="774"/>
      <c r="W15" s="775"/>
      <c r="X15" s="1812"/>
      <c r="Y15" s="3180"/>
      <c r="Z15" s="1813"/>
      <c r="AA15" s="1810">
        <v>1</v>
      </c>
      <c r="AB15" s="1810">
        <v>1</v>
      </c>
      <c r="AC15" s="1810">
        <v>1</v>
      </c>
    </row>
    <row r="16" spans="1:29" ht="42">
      <c r="A16" s="428"/>
      <c r="B16" s="451" t="s">
        <v>2682</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0"/>
      <c r="Q16" s="1809" t="str">
        <f>B16</f>
        <v>公共配套设施</v>
      </c>
      <c r="R16" s="774" t="s">
        <v>17</v>
      </c>
      <c r="S16" s="775">
        <f>F16</f>
        <v>100</v>
      </c>
      <c r="T16" s="774" t="s">
        <v>17</v>
      </c>
      <c r="U16" s="775">
        <f>H16</f>
        <v>100</v>
      </c>
      <c r="V16" s="774" t="s">
        <v>17</v>
      </c>
      <c r="W16" s="775">
        <f>J16</f>
        <v>100</v>
      </c>
      <c r="X16" s="1812"/>
      <c r="Y16" s="3180"/>
      <c r="Z16" s="1813" t="str">
        <f>Q16</f>
        <v>公共配套设施</v>
      </c>
      <c r="AA16" s="1810">
        <f t="shared" si="3"/>
        <v>1</v>
      </c>
      <c r="AB16" s="1810">
        <f t="shared" si="4"/>
        <v>1</v>
      </c>
      <c r="AC16" s="1810">
        <f t="shared" si="5"/>
        <v>1</v>
      </c>
    </row>
    <row r="17" spans="1:29" ht="15.5">
      <c r="A17" s="428"/>
      <c r="B17" s="456"/>
      <c r="C17" s="2608"/>
      <c r="D17" s="448"/>
      <c r="E17" s="447"/>
      <c r="F17" s="449"/>
      <c r="G17" s="447"/>
      <c r="H17" s="448"/>
      <c r="I17" s="447"/>
      <c r="J17" s="448"/>
      <c r="K17" s="615"/>
      <c r="L17" s="1140"/>
      <c r="M17" s="1131"/>
      <c r="N17" s="1131"/>
      <c r="O17" s="1139"/>
      <c r="P17" s="3180"/>
      <c r="Q17" s="1809"/>
      <c r="R17" s="774"/>
      <c r="S17" s="775"/>
      <c r="T17" s="774"/>
      <c r="U17" s="775"/>
      <c r="V17" s="774"/>
      <c r="W17" s="775"/>
      <c r="X17" s="1812"/>
      <c r="Y17" s="3180"/>
      <c r="Z17" s="1813"/>
      <c r="AA17" s="1810">
        <v>1</v>
      </c>
      <c r="AB17" s="1810">
        <v>1</v>
      </c>
      <c r="AC17" s="1810">
        <v>1</v>
      </c>
    </row>
    <row r="18" spans="1:29" ht="42">
      <c r="A18" s="428"/>
      <c r="B18" s="1384" t="s">
        <v>2683</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0"/>
      <c r="Q18" s="1809" t="str">
        <f>B18</f>
        <v>基础设施水平</v>
      </c>
      <c r="R18" s="774" t="s">
        <v>17</v>
      </c>
      <c r="S18" s="775">
        <f>F18</f>
        <v>100</v>
      </c>
      <c r="T18" s="774" t="s">
        <v>17</v>
      </c>
      <c r="U18" s="775">
        <f>H18</f>
        <v>100</v>
      </c>
      <c r="V18" s="774" t="s">
        <v>17</v>
      </c>
      <c r="W18" s="775">
        <f>J18</f>
        <v>100</v>
      </c>
      <c r="X18" s="1812"/>
      <c r="Y18" s="3180"/>
      <c r="Z18" s="1813" t="str">
        <f>Q18</f>
        <v>基础设施水平</v>
      </c>
      <c r="AA18" s="1810">
        <f>D18/F18</f>
        <v>1</v>
      </c>
      <c r="AB18" s="1810">
        <f>D18/H18</f>
        <v>1</v>
      </c>
      <c r="AC18" s="1810">
        <f>D18/J18</f>
        <v>1</v>
      </c>
    </row>
    <row r="19" spans="1:29" ht="15.5">
      <c r="A19" s="428"/>
      <c r="B19" s="1384"/>
      <c r="C19" s="2608"/>
      <c r="D19" s="450"/>
      <c r="E19" s="2608"/>
      <c r="F19" s="453"/>
      <c r="G19" s="2608"/>
      <c r="H19" s="448"/>
      <c r="I19" s="447"/>
      <c r="J19" s="448"/>
      <c r="K19" s="1383"/>
      <c r="L19" s="1140"/>
      <c r="M19" s="1131"/>
      <c r="N19" s="1131"/>
      <c r="O19" s="1139"/>
      <c r="P19" s="3180"/>
      <c r="Q19" s="1809"/>
      <c r="R19" s="774"/>
      <c r="S19" s="775"/>
      <c r="T19" s="774"/>
      <c r="U19" s="775"/>
      <c r="V19" s="774"/>
      <c r="W19" s="775"/>
      <c r="X19" s="1812"/>
      <c r="Y19" s="3180"/>
      <c r="Z19" s="1813"/>
      <c r="AA19" s="1810">
        <v>1</v>
      </c>
      <c r="AB19" s="1810">
        <v>1</v>
      </c>
      <c r="AC19" s="1810">
        <v>1</v>
      </c>
    </row>
    <row r="20" spans="1:29" ht="56">
      <c r="A20" s="428"/>
      <c r="B20" s="451" t="s">
        <v>2704</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0"/>
      <c r="Q20" s="1809" t="str">
        <f>B20</f>
        <v>自然及人文环境</v>
      </c>
      <c r="R20" s="774" t="s">
        <v>17</v>
      </c>
      <c r="S20" s="775">
        <f>F20</f>
        <v>100</v>
      </c>
      <c r="T20" s="774" t="s">
        <v>17</v>
      </c>
      <c r="U20" s="775">
        <f>H20</f>
        <v>100</v>
      </c>
      <c r="V20" s="774" t="s">
        <v>17</v>
      </c>
      <c r="W20" s="775">
        <f>J20</f>
        <v>100</v>
      </c>
      <c r="X20" s="1812"/>
      <c r="Y20" s="3180"/>
      <c r="Z20" s="1813" t="str">
        <f>Q20</f>
        <v>自然及人文环境</v>
      </c>
      <c r="AA20" s="1810">
        <f t="shared" si="3"/>
        <v>1</v>
      </c>
      <c r="AB20" s="1810">
        <f t="shared" si="4"/>
        <v>1</v>
      </c>
      <c r="AC20" s="1810">
        <f t="shared" si="5"/>
        <v>1</v>
      </c>
    </row>
    <row r="21" spans="1:29" ht="15.5">
      <c r="A21" s="428"/>
      <c r="B21" s="456"/>
      <c r="C21" s="447"/>
      <c r="D21" s="448"/>
      <c r="E21" s="447"/>
      <c r="F21" s="449"/>
      <c r="G21" s="447"/>
      <c r="H21" s="448"/>
      <c r="I21" s="447"/>
      <c r="J21" s="448"/>
      <c r="K21" s="615"/>
      <c r="L21" s="1140"/>
      <c r="M21" s="1131"/>
      <c r="N21" s="1131"/>
      <c r="O21" s="1139"/>
      <c r="P21" s="3180"/>
      <c r="Q21" s="1809"/>
      <c r="R21" s="774"/>
      <c r="S21" s="775"/>
      <c r="T21" s="774"/>
      <c r="U21" s="775"/>
      <c r="V21" s="774"/>
      <c r="W21" s="775"/>
      <c r="X21" s="1812"/>
      <c r="Y21" s="3180"/>
      <c r="Z21" s="1813"/>
      <c r="AA21" s="1810">
        <v>1</v>
      </c>
      <c r="AB21" s="1810">
        <v>1</v>
      </c>
      <c r="AC21" s="1810">
        <v>1</v>
      </c>
    </row>
    <row r="22" spans="1:29" ht="15.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0"/>
      <c r="Q22" s="1809" t="str">
        <f>B22</f>
        <v>楼层</v>
      </c>
      <c r="R22" s="774" t="s">
        <v>17</v>
      </c>
      <c r="S22" s="775">
        <f>F22</f>
        <v>100</v>
      </c>
      <c r="T22" s="774" t="s">
        <v>17</v>
      </c>
      <c r="U22" s="775">
        <f>H22</f>
        <v>100</v>
      </c>
      <c r="V22" s="774" t="s">
        <v>17</v>
      </c>
      <c r="W22" s="775">
        <f>J22</f>
        <v>100</v>
      </c>
      <c r="X22" s="1812"/>
      <c r="Y22" s="3180"/>
      <c r="Z22" s="1813" t="str">
        <f>Q22</f>
        <v>楼层</v>
      </c>
      <c r="AA22" s="1810">
        <f t="shared" si="3"/>
        <v>1</v>
      </c>
      <c r="AB22" s="1810">
        <f t="shared" si="4"/>
        <v>1</v>
      </c>
      <c r="AC22" s="1810">
        <f t="shared" si="5"/>
        <v>1</v>
      </c>
    </row>
    <row r="23" spans="1:29" ht="15.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0"/>
      <c r="Q23" s="1809">
        <f>B23</f>
        <v>111</v>
      </c>
      <c r="R23" s="774" t="s">
        <v>17</v>
      </c>
      <c r="S23" s="775">
        <f>F23</f>
        <v>100</v>
      </c>
      <c r="T23" s="774" t="s">
        <v>17</v>
      </c>
      <c r="U23" s="775">
        <f>H23</f>
        <v>100</v>
      </c>
      <c r="V23" s="774" t="s">
        <v>17</v>
      </c>
      <c r="W23" s="775">
        <f>J23</f>
        <v>100</v>
      </c>
      <c r="X23" s="1812"/>
      <c r="Y23" s="3180"/>
      <c r="Z23" s="1813">
        <f>Q23</f>
        <v>111</v>
      </c>
      <c r="AA23" s="1810">
        <f t="shared" si="3"/>
        <v>1</v>
      </c>
      <c r="AB23" s="1810">
        <f t="shared" si="4"/>
        <v>1</v>
      </c>
      <c r="AC23" s="1810">
        <f t="shared" si="5"/>
        <v>1</v>
      </c>
    </row>
    <row r="24" spans="1:29" ht="15.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0"/>
      <c r="Q24" s="1809">
        <f t="shared" ref="Q24:Q34" si="8">B24</f>
        <v>111</v>
      </c>
      <c r="R24" s="774" t="s">
        <v>17</v>
      </c>
      <c r="S24" s="775">
        <f>F24</f>
        <v>100</v>
      </c>
      <c r="T24" s="774" t="s">
        <v>17</v>
      </c>
      <c r="U24" s="775">
        <f>H24</f>
        <v>100</v>
      </c>
      <c r="V24" s="774" t="s">
        <v>17</v>
      </c>
      <c r="W24" s="775">
        <f>J24</f>
        <v>100</v>
      </c>
      <c r="X24" s="1812"/>
      <c r="Y24" s="3180"/>
      <c r="Z24" s="1813">
        <f>Q24</f>
        <v>111</v>
      </c>
      <c r="AA24" s="1810">
        <f t="shared" si="3"/>
        <v>1</v>
      </c>
      <c r="AB24" s="1810">
        <f t="shared" si="4"/>
        <v>1</v>
      </c>
      <c r="AC24" s="1810">
        <f t="shared" si="5"/>
        <v>1</v>
      </c>
    </row>
    <row r="25" spans="1:29" s="117" customFormat="1" ht="16"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80"/>
      <c r="Q25" s="1794">
        <f t="shared" si="8"/>
        <v>111</v>
      </c>
      <c r="R25" s="770" t="s">
        <v>17</v>
      </c>
      <c r="S25" s="771">
        <f>F25</f>
        <v>100</v>
      </c>
      <c r="T25" s="770" t="s">
        <v>17</v>
      </c>
      <c r="U25" s="771">
        <f>H25</f>
        <v>100</v>
      </c>
      <c r="V25" s="770" t="s">
        <v>17</v>
      </c>
      <c r="W25" s="771">
        <f>J25</f>
        <v>100</v>
      </c>
      <c r="X25" s="772"/>
      <c r="Y25" s="3180"/>
      <c r="Z25" s="55">
        <f>Q25</f>
        <v>111</v>
      </c>
      <c r="AA25" s="1810">
        <f>D25/F25</f>
        <v>1</v>
      </c>
      <c r="AB25" s="1810">
        <f>D25/H25</f>
        <v>1</v>
      </c>
      <c r="AC25" s="1810">
        <f>D25/J25</f>
        <v>1</v>
      </c>
    </row>
    <row r="26" spans="1:29" ht="29">
      <c r="A26" s="466" t="s">
        <v>2557</v>
      </c>
      <c r="B26" s="71" t="s">
        <v>2708</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181" t="s">
        <v>2559</v>
      </c>
      <c r="Q26" s="1809" t="str">
        <f t="shared" si="8"/>
        <v>公共部分装修</v>
      </c>
      <c r="R26" s="774" t="s">
        <v>17</v>
      </c>
      <c r="S26" s="775">
        <f t="shared" ref="S26:S34" si="9">F26</f>
        <v>100</v>
      </c>
      <c r="T26" s="774" t="s">
        <v>17</v>
      </c>
      <c r="U26" s="775">
        <f t="shared" ref="U26:U34" si="10">H26</f>
        <v>100</v>
      </c>
      <c r="V26" s="774" t="s">
        <v>17</v>
      </c>
      <c r="W26" s="775">
        <f t="shared" ref="W26:W34" si="11">J26</f>
        <v>100</v>
      </c>
      <c r="X26" s="1812"/>
      <c r="Y26" s="3182" t="s">
        <v>2559</v>
      </c>
      <c r="Z26" s="1813" t="str">
        <f t="shared" ref="Z26:Z34" si="12">Q26</f>
        <v>公共部分装修</v>
      </c>
      <c r="AA26" s="1810">
        <f t="shared" si="3"/>
        <v>1</v>
      </c>
      <c r="AB26" s="1810">
        <f t="shared" si="4"/>
        <v>1</v>
      </c>
      <c r="AC26" s="1810">
        <f t="shared" si="5"/>
        <v>1</v>
      </c>
    </row>
    <row r="27" spans="1:29" s="471" customFormat="1" ht="15.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2"/>
      <c r="Q27" s="776" t="str">
        <f t="shared" si="8"/>
        <v>成新率</v>
      </c>
      <c r="R27" s="777" t="s">
        <v>17</v>
      </c>
      <c r="S27" s="778" t="e">
        <f t="shared" si="9"/>
        <v>#N/A</v>
      </c>
      <c r="T27" s="777" t="s">
        <v>17</v>
      </c>
      <c r="U27" s="778" t="e">
        <f t="shared" si="10"/>
        <v>#N/A</v>
      </c>
      <c r="V27" s="777" t="s">
        <v>17</v>
      </c>
      <c r="W27" s="778" t="e">
        <f t="shared" si="11"/>
        <v>#N/A</v>
      </c>
      <c r="X27" s="779"/>
      <c r="Y27" s="3182"/>
      <c r="Z27" s="780" t="str">
        <f t="shared" si="12"/>
        <v>成新率</v>
      </c>
      <c r="AA27" s="1810" t="e">
        <f t="shared" si="3"/>
        <v>#N/A</v>
      </c>
      <c r="AB27" s="1810" t="e">
        <f t="shared" si="4"/>
        <v>#N/A</v>
      </c>
      <c r="AC27" s="1810" t="e">
        <f t="shared" si="5"/>
        <v>#N/A</v>
      </c>
    </row>
    <row r="28" spans="1:29" ht="15.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2"/>
      <c r="Q28" s="1809" t="str">
        <f t="shared" si="8"/>
        <v>物业等级</v>
      </c>
      <c r="R28" s="774" t="s">
        <v>17</v>
      </c>
      <c r="S28" s="775">
        <f t="shared" si="9"/>
        <v>100</v>
      </c>
      <c r="T28" s="774" t="s">
        <v>17</v>
      </c>
      <c r="U28" s="775">
        <f t="shared" si="10"/>
        <v>100</v>
      </c>
      <c r="V28" s="774" t="s">
        <v>17</v>
      </c>
      <c r="W28" s="775">
        <f t="shared" si="11"/>
        <v>100</v>
      </c>
      <c r="X28" s="1812"/>
      <c r="Y28" s="3182"/>
      <c r="Z28" s="1813" t="str">
        <f t="shared" si="12"/>
        <v>物业等级</v>
      </c>
      <c r="AA28" s="1810">
        <f t="shared" si="3"/>
        <v>1</v>
      </c>
      <c r="AB28" s="1810">
        <f t="shared" si="4"/>
        <v>1</v>
      </c>
      <c r="AC28" s="1810">
        <f t="shared" si="5"/>
        <v>1</v>
      </c>
    </row>
    <row r="29" spans="1:29" ht="15.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2"/>
      <c r="Q29" s="1809" t="str">
        <f t="shared" si="8"/>
        <v>有无电梯</v>
      </c>
      <c r="R29" s="774" t="s">
        <v>17</v>
      </c>
      <c r="S29" s="775">
        <f t="shared" si="9"/>
        <v>100</v>
      </c>
      <c r="T29" s="774" t="s">
        <v>17</v>
      </c>
      <c r="U29" s="775">
        <f t="shared" si="10"/>
        <v>100</v>
      </c>
      <c r="V29" s="774" t="s">
        <v>17</v>
      </c>
      <c r="W29" s="775">
        <f t="shared" si="11"/>
        <v>100</v>
      </c>
      <c r="X29" s="1812"/>
      <c r="Y29" s="3182"/>
      <c r="Z29" s="1813" t="str">
        <f t="shared" si="12"/>
        <v>有无电梯</v>
      </c>
      <c r="AA29" s="1810">
        <f t="shared" si="3"/>
        <v>1</v>
      </c>
      <c r="AB29" s="1810">
        <f t="shared" si="4"/>
        <v>1</v>
      </c>
      <c r="AC29" s="1810">
        <f t="shared" si="5"/>
        <v>1</v>
      </c>
    </row>
    <row r="30" spans="1:29" ht="15.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2"/>
      <c r="Q30" s="1809" t="str">
        <f t="shared" si="8"/>
        <v>建筑面积</v>
      </c>
      <c r="R30" s="774" t="s">
        <v>17</v>
      </c>
      <c r="S30" s="775" t="e">
        <f t="shared" si="9"/>
        <v>#N/A</v>
      </c>
      <c r="T30" s="774" t="s">
        <v>17</v>
      </c>
      <c r="U30" s="775" t="e">
        <f t="shared" si="10"/>
        <v>#N/A</v>
      </c>
      <c r="V30" s="774" t="s">
        <v>17</v>
      </c>
      <c r="W30" s="775" t="e">
        <f t="shared" si="11"/>
        <v>#N/A</v>
      </c>
      <c r="X30" s="1812"/>
      <c r="Y30" s="3182"/>
      <c r="Z30" s="1813" t="str">
        <f t="shared" si="12"/>
        <v>建筑面积</v>
      </c>
      <c r="AA30" s="1810" t="e">
        <f t="shared" si="3"/>
        <v>#N/A</v>
      </c>
      <c r="AB30" s="1810" t="e">
        <f t="shared" si="4"/>
        <v>#N/A</v>
      </c>
      <c r="AC30" s="1810" t="e">
        <f t="shared" si="5"/>
        <v>#N/A</v>
      </c>
    </row>
    <row r="31" spans="1:29" s="117" customFormat="1" ht="15.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2"/>
      <c r="Q31" s="1794" t="str">
        <f t="shared" si="8"/>
        <v>是否封闭</v>
      </c>
      <c r="R31" s="770" t="s">
        <v>17</v>
      </c>
      <c r="S31" s="771">
        <f t="shared" si="9"/>
        <v>100</v>
      </c>
      <c r="T31" s="770" t="s">
        <v>17</v>
      </c>
      <c r="U31" s="771">
        <f t="shared" si="10"/>
        <v>100</v>
      </c>
      <c r="V31" s="770" t="s">
        <v>17</v>
      </c>
      <c r="W31" s="771">
        <f t="shared" si="11"/>
        <v>100</v>
      </c>
      <c r="X31" s="772"/>
      <c r="Y31" s="3182"/>
      <c r="Z31" s="55" t="str">
        <f t="shared" si="12"/>
        <v>是否封闭</v>
      </c>
      <c r="AA31" s="773">
        <f t="shared" si="3"/>
        <v>1</v>
      </c>
      <c r="AB31" s="773">
        <f t="shared" si="4"/>
        <v>1</v>
      </c>
      <c r="AC31" s="773">
        <f t="shared" si="5"/>
        <v>1</v>
      </c>
    </row>
    <row r="32" spans="1:29" ht="15.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2" t="s">
        <v>2559</v>
      </c>
      <c r="Q32" s="1809">
        <f t="shared" si="8"/>
        <v>111</v>
      </c>
      <c r="R32" s="774" t="s">
        <v>17</v>
      </c>
      <c r="S32" s="775">
        <f t="shared" si="9"/>
        <v>100</v>
      </c>
      <c r="T32" s="774" t="s">
        <v>17</v>
      </c>
      <c r="U32" s="775">
        <f t="shared" si="10"/>
        <v>100</v>
      </c>
      <c r="V32" s="774" t="s">
        <v>17</v>
      </c>
      <c r="W32" s="775">
        <f t="shared" si="11"/>
        <v>100</v>
      </c>
      <c r="X32" s="1812"/>
      <c r="Y32" s="3182" t="s">
        <v>2559</v>
      </c>
      <c r="Z32" s="1813">
        <f t="shared" si="12"/>
        <v>111</v>
      </c>
      <c r="AA32" s="1810">
        <f t="shared" si="3"/>
        <v>1</v>
      </c>
      <c r="AB32" s="1810">
        <f t="shared" si="4"/>
        <v>1</v>
      </c>
      <c r="AC32" s="1810">
        <f t="shared" si="5"/>
        <v>1</v>
      </c>
    </row>
    <row r="33" spans="1:29" ht="15.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2"/>
      <c r="Q33" s="1809">
        <f t="shared" si="8"/>
        <v>111</v>
      </c>
      <c r="R33" s="774" t="s">
        <v>17</v>
      </c>
      <c r="S33" s="775">
        <f t="shared" si="9"/>
        <v>100</v>
      </c>
      <c r="T33" s="774" t="s">
        <v>17</v>
      </c>
      <c r="U33" s="775">
        <f t="shared" si="10"/>
        <v>100</v>
      </c>
      <c r="V33" s="774" t="s">
        <v>17</v>
      </c>
      <c r="W33" s="775">
        <f t="shared" si="11"/>
        <v>100</v>
      </c>
      <c r="X33" s="1812"/>
      <c r="Y33" s="3182"/>
      <c r="Z33" s="1813">
        <f t="shared" si="12"/>
        <v>111</v>
      </c>
      <c r="AA33" s="1810">
        <f t="shared" si="3"/>
        <v>1</v>
      </c>
      <c r="AB33" s="1810">
        <f t="shared" si="4"/>
        <v>1</v>
      </c>
      <c r="AC33" s="1810">
        <f t="shared" si="5"/>
        <v>1</v>
      </c>
    </row>
    <row r="34" spans="1:29" ht="16"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82"/>
      <c r="Q34" s="1809">
        <f t="shared" si="8"/>
        <v>111</v>
      </c>
      <c r="R34" s="774" t="s">
        <v>17</v>
      </c>
      <c r="S34" s="775">
        <f t="shared" si="9"/>
        <v>100</v>
      </c>
      <c r="T34" s="774" t="s">
        <v>17</v>
      </c>
      <c r="U34" s="775">
        <f t="shared" si="10"/>
        <v>100</v>
      </c>
      <c r="V34" s="774" t="s">
        <v>17</v>
      </c>
      <c r="W34" s="775">
        <f t="shared" si="11"/>
        <v>100</v>
      </c>
      <c r="X34" s="1812"/>
      <c r="Y34" s="3182"/>
      <c r="Z34" s="1813">
        <f t="shared" si="12"/>
        <v>111</v>
      </c>
      <c r="AA34" s="1810">
        <f t="shared" si="3"/>
        <v>1</v>
      </c>
      <c r="AB34" s="1810">
        <f t="shared" si="4"/>
        <v>1</v>
      </c>
      <c r="AC34" s="1810">
        <f t="shared" si="5"/>
        <v>1</v>
      </c>
    </row>
    <row r="35" spans="1:29">
      <c r="A35" s="479" t="s">
        <v>2571</v>
      </c>
      <c r="B35" s="480"/>
      <c r="C35" s="1407" t="s">
        <v>1</v>
      </c>
      <c r="D35" s="1408"/>
      <c r="E35" s="1409"/>
      <c r="F35" s="1410"/>
      <c r="G35" s="1411"/>
      <c r="H35" s="1412"/>
      <c r="I35" s="1409"/>
      <c r="J35" s="1412"/>
      <c r="K35" s="783"/>
      <c r="L35" s="1143"/>
      <c r="M35" s="1144"/>
      <c r="N35" s="1131"/>
      <c r="O35" s="1144"/>
      <c r="P35" s="3177" t="str">
        <f>A35</f>
        <v>成交单价（元/平方米）</v>
      </c>
      <c r="Q35" s="3177"/>
      <c r="R35" s="3241">
        <f>E35</f>
        <v>0</v>
      </c>
      <c r="S35" s="3241"/>
      <c r="T35" s="3241">
        <f>G35</f>
        <v>0</v>
      </c>
      <c r="U35" s="3241"/>
      <c r="V35" s="3241">
        <f>I35</f>
        <v>0</v>
      </c>
      <c r="W35" s="3241"/>
      <c r="X35" s="759"/>
      <c r="Y35" s="781"/>
      <c r="Z35" s="759"/>
      <c r="AA35" s="759"/>
      <c r="AB35" s="759"/>
      <c r="AC35" s="759"/>
    </row>
    <row r="36" spans="1:29" ht="14.5" thickBot="1">
      <c r="A36" s="486" t="s">
        <v>2663</v>
      </c>
      <c r="B36" s="487"/>
      <c r="C36" s="1413" t="e">
        <f>R37</f>
        <v>#DIV/0!</v>
      </c>
      <c r="D36" s="1414"/>
      <c r="E36" s="1415" t="e">
        <f>R36</f>
        <v>#DIV/0!</v>
      </c>
      <c r="F36" s="1415"/>
      <c r="G36" s="1413" t="e">
        <f>T36</f>
        <v>#DIV/0!</v>
      </c>
      <c r="H36" s="1414"/>
      <c r="I36" s="1415" t="e">
        <f>V36</f>
        <v>#DIV/0!</v>
      </c>
      <c r="J36" s="1414"/>
      <c r="K36" s="784"/>
      <c r="L36" s="1143"/>
      <c r="M36" s="1144"/>
      <c r="N36" s="1131"/>
      <c r="O36" s="1144"/>
      <c r="P36" s="3177" t="str">
        <f>A36</f>
        <v>比较价值（元/平方米）</v>
      </c>
      <c r="Q36" s="3177"/>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759"/>
      <c r="Y36" s="759"/>
      <c r="Z36" s="759"/>
      <c r="AA36" s="759"/>
      <c r="AB36" s="759"/>
      <c r="AC36" s="759"/>
    </row>
    <row r="37" spans="1:29" ht="14.5" thickBot="1">
      <c r="A37" s="492" t="s">
        <v>2664</v>
      </c>
      <c r="B37" s="493"/>
      <c r="C37" s="1417" t="e">
        <f>R37</f>
        <v>#DIV/0!</v>
      </c>
      <c r="D37" s="1417"/>
      <c r="E37" s="1417"/>
      <c r="F37" s="1417"/>
      <c r="G37" s="1417"/>
      <c r="H37" s="1417"/>
      <c r="I37" s="1417"/>
      <c r="J37" s="1417"/>
      <c r="K37" s="785"/>
      <c r="L37" s="1143"/>
      <c r="M37" s="1144"/>
      <c r="N37" s="1144"/>
      <c r="O37" s="1144"/>
      <c r="P37" s="3171" t="str">
        <f>A37</f>
        <v>估价对象XX用房的比较价值（楼面单价，元/平方米）</v>
      </c>
      <c r="Q37" s="3172"/>
      <c r="R37" s="3240" t="e">
        <f>IF(F1="售价",ROUND(AVERAGE(R36:V36),0),ROUND(AVERAGE(R36:V36),1))</f>
        <v>#DIV/0!</v>
      </c>
      <c r="S37" s="3240"/>
      <c r="T37" s="3240"/>
      <c r="U37" s="3240"/>
      <c r="V37" s="3240"/>
      <c r="W37" s="324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5" thickBot="1">
      <c r="A45" s="763" t="s">
        <v>2668</v>
      </c>
      <c r="B45" s="759"/>
      <c r="C45" s="764"/>
      <c r="D45" s="764"/>
      <c r="E45" s="764"/>
      <c r="F45" s="765"/>
      <c r="G45" s="765"/>
      <c r="H45" s="764"/>
      <c r="I45" s="764"/>
      <c r="J45" s="764"/>
      <c r="K45" s="766"/>
      <c r="L45" s="767"/>
      <c r="M45" s="764"/>
      <c r="N45" s="764"/>
      <c r="O45" s="764"/>
      <c r="P45" s="503"/>
      <c r="Q45" s="504"/>
    </row>
    <row r="46" spans="1:29" s="508" customFormat="1">
      <c r="A46" s="505" t="s">
        <v>2542</v>
      </c>
      <c r="B46" s="506"/>
      <c r="C46" s="1573" t="str">
        <f>YEAR(C7)&amp;"-"&amp;MONTH(C7)</f>
        <v>2020-2</v>
      </c>
      <c r="D46" s="1574">
        <f>EDATE(C46,-1)</f>
        <v>43831</v>
      </c>
      <c r="E46" s="1574">
        <f t="shared" ref="E46:O46" si="13">EDATE(D46,-1)</f>
        <v>43800</v>
      </c>
      <c r="F46" s="1574">
        <f t="shared" si="13"/>
        <v>43770</v>
      </c>
      <c r="G46" s="1574">
        <f t="shared" si="13"/>
        <v>43739</v>
      </c>
      <c r="H46" s="1574">
        <f t="shared" si="13"/>
        <v>43709</v>
      </c>
      <c r="I46" s="1574">
        <f t="shared" si="13"/>
        <v>43678</v>
      </c>
      <c r="J46" s="1574">
        <f t="shared" si="13"/>
        <v>43647</v>
      </c>
      <c r="K46" s="1574">
        <f t="shared" si="13"/>
        <v>43617</v>
      </c>
      <c r="L46" s="1574">
        <f t="shared" si="13"/>
        <v>43586</v>
      </c>
      <c r="M46" s="1574">
        <f t="shared" si="13"/>
        <v>43556</v>
      </c>
      <c r="N46" s="1574">
        <f t="shared" si="13"/>
        <v>43525</v>
      </c>
      <c r="O46" s="1574">
        <f t="shared" si="13"/>
        <v>43497</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4.5" thickBot="1">
      <c r="A48" s="515" t="s">
        <v>2579</v>
      </c>
      <c r="B48" s="516"/>
      <c r="C48" s="517"/>
      <c r="D48" s="518"/>
      <c r="E48" s="518"/>
      <c r="F48" s="518"/>
      <c r="G48" s="518"/>
      <c r="H48" s="518"/>
      <c r="I48" s="518"/>
      <c r="J48" s="518"/>
      <c r="K48" s="518"/>
      <c r="L48" s="518"/>
      <c r="M48" s="519"/>
      <c r="N48" s="518"/>
      <c r="O48" s="520"/>
      <c r="P48" s="504"/>
      <c r="Q48" s="504"/>
    </row>
    <row r="49" spans="1:17" s="117" customFormat="1">
      <c r="A49" s="521" t="s">
        <v>2544</v>
      </c>
      <c r="B49" s="510"/>
      <c r="C49" s="522" t="s">
        <v>2646</v>
      </c>
      <c r="D49" s="523"/>
      <c r="E49" s="523"/>
      <c r="F49" s="523"/>
      <c r="G49" s="523"/>
      <c r="H49" s="523"/>
      <c r="I49" s="523"/>
      <c r="J49" s="523"/>
      <c r="K49" s="523"/>
      <c r="L49" s="524"/>
      <c r="M49" s="525"/>
      <c r="N49" s="1151"/>
      <c r="O49" s="1151"/>
      <c r="P49" s="526"/>
      <c r="Q49" s="504"/>
    </row>
    <row r="50" spans="1:17" s="117" customFormat="1" ht="14.5" thickBot="1">
      <c r="A50" s="521"/>
      <c r="B50" s="510"/>
      <c r="C50" s="639">
        <v>100</v>
      </c>
      <c r="D50" s="512"/>
      <c r="E50" s="512"/>
      <c r="F50" s="512"/>
      <c r="G50" s="512"/>
      <c r="H50" s="512"/>
      <c r="I50" s="512"/>
      <c r="J50" s="512"/>
      <c r="K50" s="512"/>
      <c r="L50" s="512"/>
      <c r="M50" s="514"/>
      <c r="N50" s="1151"/>
      <c r="O50" s="1151"/>
      <c r="P50" s="504"/>
      <c r="Q50" s="504"/>
    </row>
    <row r="51" spans="1:17">
      <c r="A51" s="527" t="s">
        <v>2582</v>
      </c>
      <c r="B51" s="528" t="s">
        <v>2548</v>
      </c>
      <c r="C51" s="529">
        <f>C9</f>
        <v>0</v>
      </c>
      <c r="D51" s="530"/>
      <c r="E51" s="530"/>
      <c r="F51" s="530"/>
      <c r="G51" s="530"/>
      <c r="H51" s="530"/>
      <c r="I51" s="530"/>
      <c r="J51" s="530"/>
      <c r="K51" s="531"/>
      <c r="L51" s="532"/>
      <c r="M51" s="533"/>
      <c r="N51" s="1152"/>
      <c r="O51" s="1152"/>
      <c r="P51" s="45"/>
      <c r="Q51" s="504"/>
    </row>
    <row r="52" spans="1:17" ht="14.5" thickBot="1">
      <c r="A52" s="534"/>
      <c r="B52" s="535"/>
      <c r="C52" s="536">
        <v>100</v>
      </c>
      <c r="D52" s="536"/>
      <c r="E52" s="536"/>
      <c r="F52" s="536"/>
      <c r="G52" s="536"/>
      <c r="H52" s="536"/>
      <c r="I52" s="536"/>
      <c r="J52" s="536"/>
      <c r="K52" s="536"/>
      <c r="L52" s="536"/>
      <c r="M52" s="537"/>
      <c r="N52" s="1153"/>
      <c r="O52" s="1153"/>
      <c r="P52" s="45"/>
      <c r="Q52" s="504"/>
    </row>
    <row r="53" spans="1:17" ht="28.5" thickTop="1">
      <c r="A53" s="534"/>
      <c r="B53" s="538" t="s">
        <v>2551</v>
      </c>
      <c r="C53" s="539" t="s">
        <v>2583</v>
      </c>
      <c r="D53" s="539" t="s">
        <v>2584</v>
      </c>
      <c r="E53" s="539" t="s">
        <v>2585</v>
      </c>
      <c r="F53" s="539" t="s">
        <v>2586</v>
      </c>
      <c r="G53" s="539" t="s">
        <v>2587</v>
      </c>
      <c r="H53" s="539" t="s">
        <v>2588</v>
      </c>
      <c r="I53" s="539" t="s">
        <v>2589</v>
      </c>
      <c r="J53" s="539"/>
      <c r="K53" s="540"/>
      <c r="L53" s="541"/>
      <c r="M53" s="542"/>
      <c r="N53" s="1152"/>
      <c r="O53" s="1152"/>
      <c r="P53" s="45"/>
      <c r="Q53" s="504"/>
    </row>
    <row r="54" spans="1:17" ht="14.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5" thickTop="1">
      <c r="A55" s="534"/>
      <c r="B55" s="660">
        <f>B11</f>
        <v>111</v>
      </c>
      <c r="C55" s="549"/>
      <c r="D55" s="549"/>
      <c r="E55" s="549"/>
      <c r="F55" s="549"/>
      <c r="G55" s="549"/>
      <c r="H55" s="549"/>
      <c r="I55" s="549"/>
      <c r="J55" s="549"/>
      <c r="K55" s="550"/>
      <c r="L55" s="551"/>
      <c r="M55" s="552"/>
      <c r="N55" s="1152"/>
      <c r="O55" s="1152"/>
      <c r="P55" s="45"/>
      <c r="Q55" s="504"/>
    </row>
    <row r="56" spans="1:17" ht="14.5" thickBot="1">
      <c r="A56" s="534"/>
      <c r="B56" s="535"/>
      <c r="C56" s="560"/>
      <c r="D56" s="536"/>
      <c r="E56" s="536"/>
      <c r="F56" s="536"/>
      <c r="G56" s="536"/>
      <c r="H56" s="536"/>
      <c r="I56" s="536"/>
      <c r="J56" s="536"/>
      <c r="K56" s="536"/>
      <c r="L56" s="536"/>
      <c r="M56" s="537"/>
      <c r="N56" s="1153"/>
      <c r="O56" s="1153"/>
      <c r="P56" s="45"/>
      <c r="Q56" s="504"/>
    </row>
    <row r="57" spans="1:17" s="471" customFormat="1" ht="14.5" thickTop="1">
      <c r="A57" s="553"/>
      <c r="B57" s="538">
        <f>B12</f>
        <v>111</v>
      </c>
      <c r="C57" s="549"/>
      <c r="D57" s="549"/>
      <c r="E57" s="549"/>
      <c r="F57" s="549"/>
      <c r="G57" s="554"/>
      <c r="H57" s="555"/>
      <c r="I57" s="555"/>
      <c r="J57" s="555"/>
      <c r="K57" s="555"/>
      <c r="L57" s="556"/>
      <c r="M57" s="557"/>
      <c r="N57" s="1154"/>
      <c r="O57" s="1154"/>
      <c r="P57" s="558"/>
      <c r="Q57" s="559"/>
    </row>
    <row r="58" spans="1:17" s="471" customFormat="1" ht="14.5" thickBot="1">
      <c r="A58" s="553"/>
      <c r="B58" s="543"/>
      <c r="C58" s="560"/>
      <c r="D58" s="536"/>
      <c r="E58" s="536"/>
      <c r="F58" s="536"/>
      <c r="G58" s="536"/>
      <c r="H58" s="536"/>
      <c r="I58" s="536"/>
      <c r="J58" s="536"/>
      <c r="K58" s="536"/>
      <c r="L58" s="536"/>
      <c r="M58" s="537"/>
      <c r="N58" s="1153"/>
      <c r="O58" s="1153"/>
      <c r="P58" s="558"/>
      <c r="Q58" s="559"/>
    </row>
    <row r="59" spans="1:17" s="471" customFormat="1" ht="14.5" thickTop="1">
      <c r="A59" s="553"/>
      <c r="B59" s="538">
        <f>B13</f>
        <v>111</v>
      </c>
      <c r="C59" s="549"/>
      <c r="D59" s="549"/>
      <c r="E59" s="549"/>
      <c r="F59" s="549"/>
      <c r="G59" s="554"/>
      <c r="H59" s="555"/>
      <c r="I59" s="555"/>
      <c r="J59" s="555"/>
      <c r="K59" s="555"/>
      <c r="L59" s="556"/>
      <c r="M59" s="557"/>
      <c r="N59" s="1154"/>
      <c r="O59" s="1154"/>
      <c r="P59" s="470"/>
      <c r="Q59" s="561"/>
    </row>
    <row r="60" spans="1:17" s="471" customFormat="1" ht="14.5" thickBot="1">
      <c r="A60" s="553"/>
      <c r="B60" s="543"/>
      <c r="C60" s="560"/>
      <c r="D60" s="560"/>
      <c r="E60" s="560"/>
      <c r="F60" s="560"/>
      <c r="G60" s="560"/>
      <c r="H60" s="562"/>
      <c r="I60" s="562"/>
      <c r="J60" s="562"/>
      <c r="K60" s="562"/>
      <c r="L60" s="562"/>
      <c r="M60" s="563"/>
      <c r="N60" s="1154"/>
      <c r="O60" s="1154"/>
      <c r="P60" s="558"/>
      <c r="Q60" s="559"/>
    </row>
    <row r="61" spans="1:17" ht="14.5" thickTop="1">
      <c r="A61" s="527" t="s">
        <v>2553</v>
      </c>
      <c r="B61" s="528" t="s">
        <v>2596</v>
      </c>
      <c r="C61" s="573" t="s">
        <v>2591</v>
      </c>
      <c r="D61" s="573" t="s">
        <v>2592</v>
      </c>
      <c r="E61" s="573" t="s">
        <v>2593</v>
      </c>
      <c r="F61" s="573" t="s">
        <v>2594</v>
      </c>
      <c r="G61" s="573" t="s">
        <v>2595</v>
      </c>
      <c r="H61" s="529"/>
      <c r="I61" s="529"/>
      <c r="J61" s="529"/>
      <c r="K61" s="574"/>
      <c r="L61" s="575"/>
      <c r="M61" s="576"/>
      <c r="N61" s="1152"/>
      <c r="O61" s="1152"/>
      <c r="P61" s="577"/>
      <c r="Q61" s="504"/>
    </row>
    <row r="62" spans="1:17" ht="14.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8.5" thickTop="1">
      <c r="A63" s="534"/>
      <c r="B63" s="538" t="s">
        <v>2734</v>
      </c>
      <c r="C63" s="578" t="s">
        <v>2591</v>
      </c>
      <c r="D63" s="578" t="s">
        <v>2592</v>
      </c>
      <c r="E63" s="578" t="s">
        <v>2593</v>
      </c>
      <c r="F63" s="578" t="s">
        <v>2594</v>
      </c>
      <c r="G63" s="578" t="s">
        <v>2595</v>
      </c>
      <c r="H63" s="539"/>
      <c r="I63" s="539"/>
      <c r="J63" s="539"/>
      <c r="K63" s="540"/>
      <c r="L63" s="541"/>
      <c r="M63" s="542"/>
      <c r="N63" s="1152"/>
      <c r="O63" s="1152"/>
      <c r="P63" s="45"/>
      <c r="Q63" s="504"/>
    </row>
    <row r="64" spans="1:17" ht="14.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4.5" thickTop="1">
      <c r="A65" s="534"/>
      <c r="B65" s="546" t="s">
        <v>2683</v>
      </c>
      <c r="C65" s="660" t="s">
        <v>2669</v>
      </c>
      <c r="D65" s="660" t="s">
        <v>2670</v>
      </c>
      <c r="E65" s="660" t="s">
        <v>2671</v>
      </c>
      <c r="F65" s="660" t="s">
        <v>2672</v>
      </c>
      <c r="G65" s="660" t="s">
        <v>2673</v>
      </c>
      <c r="H65" s="539"/>
      <c r="I65" s="539"/>
      <c r="J65" s="539"/>
      <c r="K65" s="539"/>
      <c r="L65" s="539"/>
      <c r="M65" s="1382"/>
      <c r="N65" s="1153"/>
      <c r="O65" s="1153"/>
      <c r="P65" s="45"/>
      <c r="Q65" s="504"/>
    </row>
    <row r="66" spans="1:17" ht="14.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4.5" thickTop="1">
      <c r="A67" s="534"/>
      <c r="B67" s="538" t="s">
        <v>2603</v>
      </c>
      <c r="C67" s="578" t="s">
        <v>2591</v>
      </c>
      <c r="D67" s="578" t="s">
        <v>2592</v>
      </c>
      <c r="E67" s="578" t="s">
        <v>2593</v>
      </c>
      <c r="F67" s="578" t="s">
        <v>2594</v>
      </c>
      <c r="G67" s="578" t="s">
        <v>2595</v>
      </c>
      <c r="H67" s="539"/>
      <c r="I67" s="539"/>
      <c r="J67" s="539"/>
      <c r="K67" s="540"/>
      <c r="L67" s="541"/>
      <c r="M67" s="542"/>
      <c r="N67" s="1152"/>
      <c r="O67" s="1152"/>
      <c r="P67" s="45"/>
      <c r="Q67" s="504"/>
    </row>
    <row r="68" spans="1:17" ht="14.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4.5" thickTop="1">
      <c r="A69" s="534"/>
      <c r="B69" s="538" t="s">
        <v>2723</v>
      </c>
      <c r="C69" s="554"/>
      <c r="D69" s="554"/>
      <c r="E69" s="554"/>
      <c r="F69" s="554"/>
      <c r="G69" s="554"/>
      <c r="H69" s="583"/>
      <c r="I69" s="583"/>
      <c r="J69" s="583"/>
      <c r="K69" s="584"/>
      <c r="L69" s="585"/>
      <c r="M69" s="586"/>
      <c r="N69" s="1152"/>
      <c r="O69" s="1152"/>
      <c r="P69" s="45"/>
      <c r="Q69" s="504"/>
    </row>
    <row r="70" spans="1:17" ht="14.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5" thickTop="1">
      <c r="A71" s="579"/>
      <c r="B71" s="538">
        <f>B23</f>
        <v>111</v>
      </c>
      <c r="C71" s="549"/>
      <c r="D71" s="549"/>
      <c r="E71" s="549"/>
      <c r="F71" s="549"/>
      <c r="G71" s="554"/>
      <c r="H71" s="554"/>
      <c r="I71" s="554"/>
      <c r="J71" s="554"/>
      <c r="K71" s="554"/>
      <c r="L71" s="580"/>
      <c r="M71" s="581"/>
      <c r="N71" s="1151"/>
      <c r="O71" s="1151"/>
      <c r="P71" s="45"/>
      <c r="Q71" s="504"/>
    </row>
    <row r="72" spans="1:17" s="117" customFormat="1" ht="14.5" thickBot="1">
      <c r="A72" s="579"/>
      <c r="B72" s="543"/>
      <c r="C72" s="560"/>
      <c r="D72" s="536"/>
      <c r="E72" s="536"/>
      <c r="F72" s="536"/>
      <c r="G72" s="536"/>
      <c r="H72" s="536"/>
      <c r="I72" s="536"/>
      <c r="J72" s="536"/>
      <c r="K72" s="536"/>
      <c r="L72" s="536"/>
      <c r="M72" s="537"/>
      <c r="N72" s="1153"/>
      <c r="O72" s="1153"/>
      <c r="P72" s="45"/>
      <c r="Q72" s="504"/>
    </row>
    <row r="73" spans="1:17" s="117" customFormat="1" ht="14.5" thickTop="1">
      <c r="A73" s="579"/>
      <c r="B73" s="538">
        <f>B24</f>
        <v>111</v>
      </c>
      <c r="C73" s="549"/>
      <c r="D73" s="549"/>
      <c r="E73" s="549"/>
      <c r="F73" s="549"/>
      <c r="G73" s="554"/>
      <c r="H73" s="554"/>
      <c r="I73" s="554"/>
      <c r="J73" s="554"/>
      <c r="K73" s="554"/>
      <c r="L73" s="554"/>
      <c r="M73" s="581"/>
      <c r="N73" s="1151"/>
      <c r="O73" s="1151"/>
      <c r="P73" s="45"/>
      <c r="Q73" s="504"/>
    </row>
    <row r="74" spans="1:17" s="117" customFormat="1" ht="14.5" thickBot="1">
      <c r="A74" s="579"/>
      <c r="B74" s="543"/>
      <c r="C74" s="560"/>
      <c r="D74" s="536"/>
      <c r="E74" s="536"/>
      <c r="F74" s="536"/>
      <c r="G74" s="536"/>
      <c r="H74" s="536"/>
      <c r="I74" s="536"/>
      <c r="J74" s="536"/>
      <c r="K74" s="536"/>
      <c r="L74" s="536"/>
      <c r="M74" s="537"/>
      <c r="N74" s="1153"/>
      <c r="O74" s="1153"/>
      <c r="P74" s="45"/>
      <c r="Q74" s="504"/>
    </row>
    <row r="75" spans="1:17" s="471" customFormat="1" ht="14.5" thickTop="1">
      <c r="A75" s="553"/>
      <c r="B75" s="538">
        <f>B25</f>
        <v>111</v>
      </c>
      <c r="C75" s="549"/>
      <c r="D75" s="549"/>
      <c r="E75" s="549"/>
      <c r="F75" s="549"/>
      <c r="G75" s="554"/>
      <c r="H75" s="555"/>
      <c r="I75" s="555"/>
      <c r="J75" s="555"/>
      <c r="K75" s="555"/>
      <c r="L75" s="556"/>
      <c r="M75" s="557"/>
      <c r="N75" s="1154"/>
      <c r="O75" s="1154"/>
      <c r="P75" s="558"/>
      <c r="Q75" s="559"/>
    </row>
    <row r="76" spans="1:17" s="471" customFormat="1" ht="14.5" thickBot="1">
      <c r="A76" s="553"/>
      <c r="B76" s="543"/>
      <c r="C76" s="560"/>
      <c r="D76" s="560"/>
      <c r="E76" s="560"/>
      <c r="F76" s="560"/>
      <c r="G76" s="536"/>
      <c r="H76" s="536"/>
      <c r="I76" s="536"/>
      <c r="J76" s="536"/>
      <c r="K76" s="536"/>
      <c r="L76" s="536"/>
      <c r="M76" s="537"/>
      <c r="N76" s="1154"/>
      <c r="O76" s="1154"/>
      <c r="P76" s="558"/>
      <c r="Q76" s="559"/>
    </row>
    <row r="77" spans="1:17" ht="14.5" thickTop="1">
      <c r="A77" s="527" t="s">
        <v>2557</v>
      </c>
      <c r="B77" s="528" t="s">
        <v>2610</v>
      </c>
      <c r="C77" s="554"/>
      <c r="D77" s="554"/>
      <c r="E77" s="530"/>
      <c r="F77" s="530"/>
      <c r="G77" s="530"/>
      <c r="H77" s="530"/>
      <c r="I77" s="530"/>
      <c r="J77" s="530"/>
      <c r="K77" s="531"/>
      <c r="L77" s="532"/>
      <c r="M77" s="533"/>
      <c r="N77" s="1152"/>
      <c r="O77" s="1152"/>
      <c r="P77" s="45"/>
      <c r="Q77" s="504"/>
    </row>
    <row r="78" spans="1:17" ht="14.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3"/>
      <c r="O78" s="1153"/>
      <c r="P78" s="45"/>
      <c r="Q78" s="504"/>
    </row>
    <row r="79" spans="1:17" ht="14.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3"/>
      <c r="O81" s="1153"/>
      <c r="P81" s="558"/>
      <c r="Q81" s="559"/>
    </row>
    <row r="82" spans="1:17" ht="14.5" thickTop="1">
      <c r="A82" s="599"/>
      <c r="B82" s="546" t="s">
        <v>2727</v>
      </c>
      <c r="C82" s="554"/>
      <c r="D82" s="554"/>
      <c r="E82" s="583"/>
      <c r="F82" s="583"/>
      <c r="G82" s="583"/>
      <c r="H82" s="583"/>
      <c r="I82" s="583"/>
      <c r="J82" s="583"/>
      <c r="K82" s="584"/>
      <c r="L82" s="585"/>
      <c r="M82" s="586"/>
      <c r="N82" s="1152"/>
      <c r="O82" s="1152"/>
      <c r="P82" s="45"/>
      <c r="Q82" s="504"/>
    </row>
    <row r="83" spans="1:17" ht="14.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3"/>
      <c r="O83" s="1153"/>
      <c r="P83" s="45"/>
      <c r="Q83" s="504"/>
    </row>
    <row r="84" spans="1:17" ht="14.5" thickTop="1">
      <c r="A84" s="599"/>
      <c r="B84" s="538" t="s">
        <v>2735</v>
      </c>
      <c r="C84" s="554"/>
      <c r="D84" s="554"/>
      <c r="E84" s="554"/>
      <c r="F84" s="554"/>
      <c r="G84" s="554"/>
      <c r="H84" s="554"/>
      <c r="I84" s="583"/>
      <c r="J84" s="583"/>
      <c r="K84" s="584"/>
      <c r="L84" s="585"/>
      <c r="M84" s="586"/>
      <c r="N84" s="1152"/>
      <c r="O84" s="1152"/>
      <c r="P84" s="45"/>
      <c r="Q84" s="504"/>
    </row>
    <row r="85" spans="1:17" ht="14.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3"/>
      <c r="O85" s="1153"/>
      <c r="P85" s="45"/>
      <c r="Q85" s="504"/>
    </row>
    <row r="86" spans="1:17" ht="14.5" thickTop="1">
      <c r="A86" s="599"/>
      <c r="B86" s="546" t="s">
        <v>2736</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5" thickBot="1">
      <c r="A88" s="534"/>
      <c r="B88" s="543"/>
      <c r="C88" s="560"/>
      <c r="D88" s="536"/>
      <c r="E88" s="536"/>
      <c r="F88" s="536"/>
      <c r="G88" s="536"/>
      <c r="H88" s="536"/>
      <c r="I88" s="536"/>
      <c r="J88" s="536"/>
      <c r="K88" s="536"/>
      <c r="L88" s="536"/>
      <c r="M88" s="536"/>
      <c r="N88" s="1153"/>
      <c r="O88" s="1153"/>
      <c r="P88" s="45"/>
      <c r="Q88" s="504"/>
    </row>
    <row r="89" spans="1:17" s="471" customFormat="1" ht="14.5" thickTop="1">
      <c r="A89" s="593"/>
      <c r="B89" s="538" t="s">
        <v>2737</v>
      </c>
      <c r="C89" s="554"/>
      <c r="D89" s="554"/>
      <c r="E89" s="554"/>
      <c r="F89" s="554"/>
      <c r="G89" s="554"/>
      <c r="H89" s="554"/>
      <c r="I89" s="554"/>
      <c r="J89" s="554"/>
      <c r="K89" s="554"/>
      <c r="L89" s="554"/>
      <c r="M89" s="581"/>
      <c r="N89" s="1154"/>
      <c r="O89" s="1154"/>
      <c r="P89" s="558"/>
      <c r="Q89" s="559"/>
    </row>
    <row r="90" spans="1:17" s="471" customFormat="1" ht="14.5" thickBot="1">
      <c r="A90" s="553"/>
      <c r="B90" s="543"/>
      <c r="C90" s="560"/>
      <c r="D90" s="536"/>
      <c r="E90" s="536"/>
      <c r="F90" s="536"/>
      <c r="G90" s="536"/>
      <c r="H90" s="536"/>
      <c r="I90" s="536"/>
      <c r="J90" s="536"/>
      <c r="K90" s="536"/>
      <c r="L90" s="536"/>
      <c r="M90" s="537"/>
      <c r="N90" s="1154"/>
      <c r="O90" s="1154"/>
      <c r="P90" s="558"/>
      <c r="Q90" s="559"/>
    </row>
    <row r="91" spans="1:17" ht="14.5" thickTop="1">
      <c r="A91" s="599"/>
      <c r="B91" s="538">
        <f>B32</f>
        <v>111</v>
      </c>
      <c r="C91" s="549"/>
      <c r="D91" s="549"/>
      <c r="E91" s="549"/>
      <c r="F91" s="549"/>
      <c r="G91" s="554"/>
      <c r="H91" s="555"/>
      <c r="I91" s="555"/>
      <c r="J91" s="555"/>
      <c r="K91" s="555"/>
      <c r="L91" s="556"/>
      <c r="M91" s="557"/>
      <c r="N91" s="1152"/>
      <c r="O91" s="1152"/>
      <c r="P91" s="45"/>
      <c r="Q91" s="504"/>
    </row>
    <row r="92" spans="1:17" ht="14.5" thickBot="1">
      <c r="A92" s="534"/>
      <c r="B92" s="543"/>
      <c r="C92" s="560"/>
      <c r="D92" s="536"/>
      <c r="E92" s="536"/>
      <c r="F92" s="536"/>
      <c r="G92" s="560"/>
      <c r="H92" s="562"/>
      <c r="I92" s="562"/>
      <c r="J92" s="562"/>
      <c r="K92" s="562"/>
      <c r="L92" s="562"/>
      <c r="M92" s="563"/>
      <c r="N92" s="1153"/>
      <c r="O92" s="1153"/>
      <c r="P92" s="45"/>
      <c r="Q92" s="504"/>
    </row>
    <row r="93" spans="1:17" ht="14.5" thickTop="1">
      <c r="A93" s="599"/>
      <c r="B93" s="538">
        <f>B33</f>
        <v>111</v>
      </c>
      <c r="C93" s="549"/>
      <c r="D93" s="549"/>
      <c r="E93" s="549"/>
      <c r="F93" s="549"/>
      <c r="G93" s="554"/>
      <c r="H93" s="555"/>
      <c r="I93" s="555"/>
      <c r="J93" s="555"/>
      <c r="K93" s="555"/>
      <c r="L93" s="556"/>
      <c r="M93" s="557"/>
      <c r="N93" s="1152"/>
      <c r="O93" s="1152"/>
      <c r="P93" s="45"/>
      <c r="Q93" s="504"/>
    </row>
    <row r="94" spans="1:17" ht="14.5" thickBot="1">
      <c r="A94" s="534"/>
      <c r="B94" s="543"/>
      <c r="C94" s="560"/>
      <c r="D94" s="536"/>
      <c r="E94" s="536"/>
      <c r="F94" s="536"/>
      <c r="G94" s="560"/>
      <c r="H94" s="562"/>
      <c r="I94" s="562"/>
      <c r="J94" s="562"/>
      <c r="K94" s="562"/>
      <c r="L94" s="562"/>
      <c r="M94" s="563"/>
      <c r="N94" s="1153"/>
      <c r="O94" s="1153"/>
      <c r="P94" s="45"/>
      <c r="Q94" s="504"/>
    </row>
    <row r="95" spans="1:17" ht="14.5" thickTop="1">
      <c r="A95" s="599"/>
      <c r="B95" s="636">
        <f>B34</f>
        <v>111</v>
      </c>
      <c r="C95" s="549"/>
      <c r="D95" s="549"/>
      <c r="E95" s="549"/>
      <c r="F95" s="549"/>
      <c r="G95" s="554"/>
      <c r="H95" s="555"/>
      <c r="I95" s="555"/>
      <c r="J95" s="555"/>
      <c r="K95" s="555"/>
      <c r="L95" s="556"/>
      <c r="M95" s="557"/>
      <c r="N95" s="1153"/>
      <c r="O95" s="1153"/>
      <c r="P95" s="637"/>
      <c r="Q95" s="638"/>
    </row>
    <row r="96" spans="1:17" ht="14.5" thickBot="1">
      <c r="A96" s="534"/>
      <c r="B96" s="543"/>
      <c r="C96" s="560"/>
      <c r="D96" s="560"/>
      <c r="E96" s="560"/>
      <c r="F96" s="560"/>
      <c r="G96" s="560"/>
      <c r="H96" s="562"/>
      <c r="I96" s="562"/>
      <c r="J96" s="562"/>
      <c r="K96" s="562"/>
      <c r="L96" s="562"/>
      <c r="M96" s="563"/>
      <c r="N96" s="1153"/>
      <c r="O96" s="1153"/>
      <c r="P96" s="45"/>
      <c r="Q96" s="504"/>
    </row>
    <row r="97" spans="1:20" ht="14.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1"/>
  <sheetViews>
    <sheetView zoomScale="80" zoomScaleNormal="80" workbookViewId="0">
      <selection sqref="A1:XFD1048576"/>
    </sheetView>
  </sheetViews>
  <sheetFormatPr defaultColWidth="9" defaultRowHeight="14"/>
  <cols>
    <col min="1" max="1" width="14.36328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2740</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2639</v>
      </c>
      <c r="B4" s="402"/>
      <c r="C4" s="3174" t="s">
        <v>2640</v>
      </c>
      <c r="D4" s="3187"/>
      <c r="E4" s="3188" t="s">
        <v>2641</v>
      </c>
      <c r="F4" s="3189"/>
      <c r="G4" s="3174" t="s">
        <v>2642</v>
      </c>
      <c r="H4" s="3187"/>
      <c r="I4" s="3174" t="s">
        <v>2643</v>
      </c>
      <c r="J4" s="3187"/>
      <c r="K4" s="610" t="s">
        <v>2644</v>
      </c>
      <c r="L4" s="1130"/>
      <c r="M4" s="1131"/>
      <c r="N4" s="1131"/>
      <c r="O4" s="1131"/>
      <c r="P4" s="3190" t="s">
        <v>2645</v>
      </c>
      <c r="Q4" s="3191"/>
      <c r="R4" s="3196" t="s">
        <v>2641</v>
      </c>
      <c r="S4" s="3197"/>
      <c r="T4" s="3196" t="s">
        <v>2642</v>
      </c>
      <c r="U4" s="3197"/>
      <c r="V4" s="3183" t="s">
        <v>2643</v>
      </c>
      <c r="W4" s="3183"/>
      <c r="X4" s="1812"/>
      <c r="Y4" s="3196" t="s">
        <v>2645</v>
      </c>
      <c r="Z4" s="3197"/>
      <c r="AA4" s="3184" t="s">
        <v>2641</v>
      </c>
      <c r="AB4" s="3185" t="s">
        <v>2642</v>
      </c>
      <c r="AC4" s="3184" t="s">
        <v>2643</v>
      </c>
    </row>
    <row r="5" spans="1:29">
      <c r="A5" s="404"/>
      <c r="B5" s="405"/>
      <c r="C5" s="3204" t="s">
        <v>2536</v>
      </c>
      <c r="D5" s="3205"/>
      <c r="E5" s="3211" t="s">
        <v>2537</v>
      </c>
      <c r="F5" s="3212"/>
      <c r="G5" s="3204" t="s">
        <v>2538</v>
      </c>
      <c r="H5" s="3205"/>
      <c r="I5" s="3204" t="s">
        <v>2539</v>
      </c>
      <c r="J5" s="3205"/>
      <c r="K5" s="610"/>
      <c r="L5" s="1130"/>
      <c r="M5" s="1131"/>
      <c r="N5" s="1131"/>
      <c r="O5" s="1131"/>
      <c r="P5" s="3192"/>
      <c r="Q5" s="3193"/>
      <c r="R5" s="3198"/>
      <c r="S5" s="3199"/>
      <c r="T5" s="3198"/>
      <c r="U5" s="3199"/>
      <c r="V5" s="3183"/>
      <c r="W5" s="3183"/>
      <c r="X5" s="1812"/>
      <c r="Y5" s="3198"/>
      <c r="Z5" s="3199"/>
      <c r="AA5" s="3185"/>
      <c r="AB5" s="3185"/>
      <c r="AC5" s="3185"/>
    </row>
    <row r="6" spans="1:29" ht="15" thickBot="1">
      <c r="A6" s="406"/>
      <c r="B6" s="407"/>
      <c r="C6" s="3263" t="s">
        <v>2791</v>
      </c>
      <c r="D6" s="3264"/>
      <c r="E6" s="3265" t="s">
        <v>2791</v>
      </c>
      <c r="F6" s="3266"/>
      <c r="G6" s="3263" t="s">
        <v>2791</v>
      </c>
      <c r="H6" s="3264"/>
      <c r="I6" s="3263" t="s">
        <v>2791</v>
      </c>
      <c r="J6" s="3264"/>
      <c r="K6" s="610" t="s">
        <v>2541</v>
      </c>
      <c r="L6" s="1130"/>
      <c r="M6" s="1131"/>
      <c r="N6" s="1131"/>
      <c r="O6" s="1131"/>
      <c r="P6" s="3194"/>
      <c r="Q6" s="3195"/>
      <c r="R6" s="3198"/>
      <c r="S6" s="3199"/>
      <c r="T6" s="3200"/>
      <c r="U6" s="3201"/>
      <c r="V6" s="3183"/>
      <c r="W6" s="3183"/>
      <c r="X6" s="1812"/>
      <c r="Y6" s="3200"/>
      <c r="Z6" s="3201"/>
      <c r="AA6" s="3186"/>
      <c r="AB6" s="3186"/>
      <c r="AC6" s="3186"/>
    </row>
    <row r="7" spans="1:29" s="117" customFormat="1" ht="14.5" thickBot="1">
      <c r="A7" s="408" t="s">
        <v>2542</v>
      </c>
      <c r="B7" s="409"/>
      <c r="C7" s="410">
        <f>'数据-取费表'!B2</f>
        <v>43879</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06" t="s">
        <v>2543</v>
      </c>
      <c r="Q7" s="3208"/>
      <c r="R7" s="770" t="s">
        <v>17</v>
      </c>
      <c r="S7" s="771">
        <f t="shared" ref="S7:S15" si="0">F7</f>
        <v>0</v>
      </c>
      <c r="T7" s="770" t="s">
        <v>17</v>
      </c>
      <c r="U7" s="771">
        <f t="shared" ref="U7:U15" si="1">H7</f>
        <v>0</v>
      </c>
      <c r="V7" s="770" t="s">
        <v>17</v>
      </c>
      <c r="W7" s="771">
        <f t="shared" ref="W7:W15" si="2">J7</f>
        <v>0</v>
      </c>
      <c r="X7" s="772"/>
      <c r="Y7" s="3206" t="s">
        <v>2543</v>
      </c>
      <c r="Z7" s="3207"/>
      <c r="AA7" s="773" t="e">
        <f>D7/F7</f>
        <v>#DIV/0!</v>
      </c>
      <c r="AB7" s="773" t="e">
        <f>D7/H7</f>
        <v>#DIV/0!</v>
      </c>
      <c r="AC7" s="773" t="e">
        <f>D7/J7</f>
        <v>#DIV/0!</v>
      </c>
    </row>
    <row r="8" spans="1:29" s="117" customFormat="1" ht="14.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6" t="s">
        <v>2546</v>
      </c>
      <c r="Q8" s="3207"/>
      <c r="R8" s="770" t="s">
        <v>17</v>
      </c>
      <c r="S8" s="771">
        <f t="shared" si="0"/>
        <v>0</v>
      </c>
      <c r="T8" s="770" t="s">
        <v>17</v>
      </c>
      <c r="U8" s="771">
        <f t="shared" si="1"/>
        <v>0</v>
      </c>
      <c r="V8" s="770" t="s">
        <v>17</v>
      </c>
      <c r="W8" s="771">
        <f t="shared" si="2"/>
        <v>0</v>
      </c>
      <c r="X8" s="772"/>
      <c r="Y8" s="3206" t="s">
        <v>2546</v>
      </c>
      <c r="Z8" s="3207"/>
      <c r="AA8" s="773" t="e">
        <f t="shared" ref="AA8:AA40" si="3">D8/F8</f>
        <v>#DIV/0!</v>
      </c>
      <c r="AB8" s="773" t="e">
        <f t="shared" ref="AB8:AB40" si="4">D8/H8</f>
        <v>#DIV/0!</v>
      </c>
      <c r="AC8" s="773" t="e">
        <f t="shared" ref="AC8:AC40" si="5">D8/J8</f>
        <v>#DIV/0!</v>
      </c>
    </row>
    <row r="9" spans="1:29" s="117" customFormat="1">
      <c r="A9" s="415" t="s">
        <v>2547</v>
      </c>
      <c r="B9" s="71" t="s">
        <v>2548</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77" t="s">
        <v>2549</v>
      </c>
      <c r="Q9" s="1794" t="str">
        <f t="shared" ref="Q9:Q15" si="6">B9</f>
        <v>用途</v>
      </c>
      <c r="R9" s="770" t="s">
        <v>17</v>
      </c>
      <c r="S9" s="771">
        <f t="shared" si="0"/>
        <v>100</v>
      </c>
      <c r="T9" s="770" t="s">
        <v>17</v>
      </c>
      <c r="U9" s="771">
        <f t="shared" si="1"/>
        <v>100</v>
      </c>
      <c r="V9" s="770" t="s">
        <v>17</v>
      </c>
      <c r="W9" s="771">
        <f t="shared" si="2"/>
        <v>100</v>
      </c>
      <c r="X9" s="772"/>
      <c r="Y9" s="3024" t="s">
        <v>2550</v>
      </c>
      <c r="Z9" s="55" t="str">
        <f t="shared" ref="Z9:Z15" si="7">Q9</f>
        <v>用途</v>
      </c>
      <c r="AA9" s="773">
        <f t="shared" si="3"/>
        <v>1</v>
      </c>
      <c r="AB9" s="773">
        <f t="shared" si="4"/>
        <v>1</v>
      </c>
      <c r="AC9" s="773">
        <f t="shared" si="5"/>
        <v>1</v>
      </c>
    </row>
    <row r="10" spans="1:29" s="427" customFormat="1" ht="28">
      <c r="A10" s="421"/>
      <c r="B10" s="422" t="s">
        <v>2551</v>
      </c>
      <c r="C10" s="432"/>
      <c r="D10" s="136">
        <v>100</v>
      </c>
      <c r="E10" s="432"/>
      <c r="F10" s="136">
        <f>ROUND(100/'数据-取费表'!G16,0)</f>
        <v>115</v>
      </c>
      <c r="G10" s="432"/>
      <c r="H10" s="136">
        <f>ROUND(100/'数据-取费表'!G16,0)</f>
        <v>115</v>
      </c>
      <c r="I10" s="432"/>
      <c r="J10" s="136">
        <f>ROUND(100/'数据-取费表'!G16,0)</f>
        <v>115</v>
      </c>
      <c r="K10" s="672"/>
      <c r="L10" s="1135"/>
      <c r="M10" s="1136"/>
      <c r="N10" s="1136"/>
      <c r="O10" s="1137"/>
      <c r="P10" s="3177"/>
      <c r="Q10" s="1794" t="str">
        <f t="shared" si="6"/>
        <v>土地使用年限（年）</v>
      </c>
      <c r="R10" s="770" t="s">
        <v>17</v>
      </c>
      <c r="S10" s="771">
        <f t="shared" si="0"/>
        <v>115</v>
      </c>
      <c r="T10" s="770" t="s">
        <v>17</v>
      </c>
      <c r="U10" s="771">
        <f t="shared" si="1"/>
        <v>115</v>
      </c>
      <c r="V10" s="770" t="s">
        <v>17</v>
      </c>
      <c r="W10" s="771">
        <f t="shared" si="2"/>
        <v>115</v>
      </c>
      <c r="X10" s="772"/>
      <c r="Y10" s="3024"/>
      <c r="Z10" s="55" t="str">
        <f t="shared" si="7"/>
        <v>土地使用年限（年）</v>
      </c>
      <c r="AA10" s="773">
        <f t="shared" si="3"/>
        <v>0.86956521739130432</v>
      </c>
      <c r="AB10" s="773">
        <f t="shared" si="4"/>
        <v>0.86956521739130432</v>
      </c>
      <c r="AC10" s="773">
        <f t="shared" si="5"/>
        <v>0.86956521739130432</v>
      </c>
    </row>
    <row r="11" spans="1:29" ht="15.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7"/>
      <c r="Q11" s="1794"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7"/>
      <c r="Q12" s="1794">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7"/>
      <c r="Q13" s="1794">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6"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7"/>
      <c r="Q14" s="1794">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70">
      <c r="A15" s="440" t="s">
        <v>2553</v>
      </c>
      <c r="B15" s="629" t="s">
        <v>2792</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9" t="s">
        <v>2554</v>
      </c>
      <c r="Q15" s="1809" t="str">
        <f t="shared" si="6"/>
        <v>产业集聚程度</v>
      </c>
      <c r="R15" s="774" t="s">
        <v>17</v>
      </c>
      <c r="S15" s="775">
        <f t="shared" si="0"/>
        <v>100</v>
      </c>
      <c r="T15" s="774" t="s">
        <v>17</v>
      </c>
      <c r="U15" s="775">
        <f t="shared" si="1"/>
        <v>100</v>
      </c>
      <c r="V15" s="774" t="s">
        <v>17</v>
      </c>
      <c r="W15" s="775">
        <f t="shared" si="2"/>
        <v>100</v>
      </c>
      <c r="X15" s="1812"/>
      <c r="Y15" s="3179" t="s">
        <v>2554</v>
      </c>
      <c r="Z15" s="1813" t="str">
        <f t="shared" si="7"/>
        <v>产业集聚程度</v>
      </c>
      <c r="AA15" s="1810">
        <f t="shared" si="3"/>
        <v>1</v>
      </c>
      <c r="AB15" s="1810">
        <f t="shared" si="4"/>
        <v>1</v>
      </c>
      <c r="AC15" s="1810">
        <f t="shared" si="5"/>
        <v>1</v>
      </c>
    </row>
    <row r="16" spans="1:29" ht="15.5">
      <c r="A16" s="428"/>
      <c r="B16" s="630"/>
      <c r="C16" s="447"/>
      <c r="D16" s="448"/>
      <c r="E16" s="2611"/>
      <c r="F16" s="448"/>
      <c r="G16" s="2611"/>
      <c r="H16" s="450"/>
      <c r="I16" s="2611"/>
      <c r="J16" s="448"/>
      <c r="K16" s="672"/>
      <c r="L16" s="1140"/>
      <c r="M16" s="1131"/>
      <c r="N16" s="1131"/>
      <c r="O16" s="1139"/>
      <c r="P16" s="3180"/>
      <c r="Q16" s="1809"/>
      <c r="R16" s="774"/>
      <c r="S16" s="775"/>
      <c r="T16" s="774"/>
      <c r="U16" s="775"/>
      <c r="V16" s="774"/>
      <c r="W16" s="775"/>
      <c r="X16" s="1812"/>
      <c r="Y16" s="3180"/>
      <c r="Z16" s="1813"/>
      <c r="AA16" s="1810">
        <v>1</v>
      </c>
      <c r="AB16" s="1810">
        <v>1</v>
      </c>
      <c r="AC16" s="1810">
        <v>1</v>
      </c>
    </row>
    <row r="17" spans="1:29" ht="98">
      <c r="A17" s="428"/>
      <c r="B17" s="631" t="s">
        <v>2703</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0"/>
      <c r="Q17" s="1809" t="str">
        <f>B17</f>
        <v>交通便捷度</v>
      </c>
      <c r="R17" s="774" t="s">
        <v>17</v>
      </c>
      <c r="S17" s="775">
        <f>F17</f>
        <v>100</v>
      </c>
      <c r="T17" s="774" t="s">
        <v>17</v>
      </c>
      <c r="U17" s="775">
        <f>H17</f>
        <v>100</v>
      </c>
      <c r="V17" s="774" t="s">
        <v>17</v>
      </c>
      <c r="W17" s="775">
        <f>J17</f>
        <v>100</v>
      </c>
      <c r="X17" s="1812"/>
      <c r="Y17" s="3180"/>
      <c r="Z17" s="1813" t="str">
        <f>Q17</f>
        <v>交通便捷度</v>
      </c>
      <c r="AA17" s="1810">
        <f t="shared" si="3"/>
        <v>1</v>
      </c>
      <c r="AB17" s="1810">
        <f t="shared" si="4"/>
        <v>1</v>
      </c>
      <c r="AC17" s="1810">
        <f t="shared" si="5"/>
        <v>1</v>
      </c>
    </row>
    <row r="18" spans="1:29" ht="15.5">
      <c r="A18" s="428"/>
      <c r="B18" s="632"/>
      <c r="C18" s="447"/>
      <c r="D18" s="448"/>
      <c r="E18" s="2605"/>
      <c r="F18" s="448"/>
      <c r="G18" s="2605"/>
      <c r="H18" s="448"/>
      <c r="I18" s="2604"/>
      <c r="J18" s="448"/>
      <c r="K18" s="672"/>
      <c r="L18" s="1140"/>
      <c r="M18" s="1131"/>
      <c r="N18" s="1131"/>
      <c r="O18" s="1139"/>
      <c r="P18" s="3180"/>
      <c r="Q18" s="1809"/>
      <c r="R18" s="774"/>
      <c r="S18" s="775"/>
      <c r="T18" s="774"/>
      <c r="U18" s="775"/>
      <c r="V18" s="774"/>
      <c r="W18" s="775"/>
      <c r="X18" s="1812"/>
      <c r="Y18" s="3180"/>
      <c r="Z18" s="1813"/>
      <c r="AA18" s="1810">
        <v>1</v>
      </c>
      <c r="AB18" s="1810">
        <v>1</v>
      </c>
      <c r="AC18" s="1810">
        <v>1</v>
      </c>
    </row>
    <row r="19" spans="1:29" ht="28">
      <c r="A19" s="428"/>
      <c r="B19" s="631" t="s">
        <v>2742</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0"/>
      <c r="Q19" s="1809" t="str">
        <f t="shared" ref="Q19:Q33" si="8">B19</f>
        <v>区域土地利用方向</v>
      </c>
      <c r="R19" s="774" t="s">
        <v>17</v>
      </c>
      <c r="S19" s="775">
        <f>F19</f>
        <v>100</v>
      </c>
      <c r="T19" s="774" t="s">
        <v>17</v>
      </c>
      <c r="U19" s="775">
        <f>H19</f>
        <v>100</v>
      </c>
      <c r="V19" s="774" t="s">
        <v>17</v>
      </c>
      <c r="W19" s="775">
        <f>J19</f>
        <v>100</v>
      </c>
      <c r="X19" s="1812"/>
      <c r="Y19" s="3180"/>
      <c r="Z19" s="1813" t="str">
        <f>Q19</f>
        <v>区域土地利用方向</v>
      </c>
      <c r="AA19" s="1810">
        <f t="shared" si="3"/>
        <v>1</v>
      </c>
      <c r="AB19" s="1810">
        <f t="shared" si="4"/>
        <v>1</v>
      </c>
      <c r="AC19" s="1810">
        <f t="shared" si="5"/>
        <v>1</v>
      </c>
    </row>
    <row r="20" spans="1:29" ht="15.5">
      <c r="A20" s="404"/>
      <c r="B20" s="632"/>
      <c r="C20" s="447"/>
      <c r="D20" s="448"/>
      <c r="E20" s="2605"/>
      <c r="F20" s="448"/>
      <c r="G20" s="2605"/>
      <c r="H20" s="448"/>
      <c r="I20" s="2605"/>
      <c r="J20" s="448"/>
      <c r="K20" s="812"/>
      <c r="L20" s="1140"/>
      <c r="M20" s="1131"/>
      <c r="N20" s="1131"/>
      <c r="O20" s="1139"/>
      <c r="P20" s="3180"/>
      <c r="Q20" s="1809"/>
      <c r="R20" s="774"/>
      <c r="S20" s="775"/>
      <c r="T20" s="774"/>
      <c r="U20" s="775"/>
      <c r="V20" s="774"/>
      <c r="W20" s="775"/>
      <c r="X20" s="1812"/>
      <c r="Y20" s="3180"/>
      <c r="Z20" s="1813"/>
      <c r="AA20" s="1810"/>
      <c r="AB20" s="1810"/>
      <c r="AC20" s="1810"/>
    </row>
    <row r="21" spans="1:29" ht="84">
      <c r="A21" s="404"/>
      <c r="B21" s="631" t="s">
        <v>2793</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0"/>
      <c r="Q21" s="1809" t="str">
        <f t="shared" si="8"/>
        <v>环境状况</v>
      </c>
      <c r="R21" s="774" t="s">
        <v>17</v>
      </c>
      <c r="S21" s="775">
        <f>F21</f>
        <v>100</v>
      </c>
      <c r="T21" s="774" t="s">
        <v>17</v>
      </c>
      <c r="U21" s="775">
        <f>H21</f>
        <v>100</v>
      </c>
      <c r="V21" s="774" t="s">
        <v>17</v>
      </c>
      <c r="W21" s="775">
        <f>J21</f>
        <v>100</v>
      </c>
      <c r="X21" s="1812"/>
      <c r="Y21" s="3180"/>
      <c r="Z21" s="1813" t="str">
        <f>Q21</f>
        <v>环境状况</v>
      </c>
      <c r="AA21" s="1810">
        <f t="shared" si="3"/>
        <v>1</v>
      </c>
      <c r="AB21" s="1810">
        <f t="shared" si="4"/>
        <v>1</v>
      </c>
      <c r="AC21" s="1810">
        <f t="shared" si="5"/>
        <v>1</v>
      </c>
    </row>
    <row r="22" spans="1:29" ht="15.5">
      <c r="A22" s="404"/>
      <c r="B22" s="632"/>
      <c r="C22" s="447"/>
      <c r="D22" s="448"/>
      <c r="E22" s="2611"/>
      <c r="F22" s="448"/>
      <c r="G22" s="2611"/>
      <c r="H22" s="448"/>
      <c r="I22" s="447"/>
      <c r="J22" s="448"/>
      <c r="K22" s="672"/>
      <c r="L22" s="1140"/>
      <c r="M22" s="1131"/>
      <c r="N22" s="1131"/>
      <c r="O22" s="1139"/>
      <c r="P22" s="3180"/>
      <c r="Q22" s="1809"/>
      <c r="R22" s="774"/>
      <c r="S22" s="775"/>
      <c r="T22" s="774"/>
      <c r="U22" s="775"/>
      <c r="V22" s="774"/>
      <c r="W22" s="775"/>
      <c r="X22" s="1812"/>
      <c r="Y22" s="3180"/>
      <c r="Z22" s="1813"/>
      <c r="AA22" s="1810">
        <v>1</v>
      </c>
      <c r="AB22" s="1810">
        <v>1</v>
      </c>
      <c r="AC22" s="1810">
        <v>1</v>
      </c>
    </row>
    <row r="23" spans="1:29" s="117" customFormat="1" ht="42">
      <c r="A23" s="649"/>
      <c r="B23" s="633" t="s">
        <v>2648</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0"/>
      <c r="Q23" s="1794" t="str">
        <f t="shared" si="8"/>
        <v>公共配套设施</v>
      </c>
      <c r="R23" s="770" t="s">
        <v>17</v>
      </c>
      <c r="S23" s="771">
        <f>F23</f>
        <v>100</v>
      </c>
      <c r="T23" s="770" t="s">
        <v>17</v>
      </c>
      <c r="U23" s="771">
        <f>H23</f>
        <v>100</v>
      </c>
      <c r="V23" s="770" t="s">
        <v>17</v>
      </c>
      <c r="W23" s="771">
        <f>J23</f>
        <v>100</v>
      </c>
      <c r="X23" s="772"/>
      <c r="Y23" s="3180"/>
      <c r="Z23" s="55" t="str">
        <f>Q23</f>
        <v>公共配套设施</v>
      </c>
      <c r="AA23" s="1810">
        <f>D23/F23</f>
        <v>1</v>
      </c>
      <c r="AB23" s="1810">
        <f>D23/H23</f>
        <v>1</v>
      </c>
      <c r="AC23" s="1810">
        <f>D23/J23</f>
        <v>1</v>
      </c>
    </row>
    <row r="24" spans="1:29" s="117" customFormat="1" ht="15.5">
      <c r="A24" s="649"/>
      <c r="B24" s="632"/>
      <c r="C24" s="2700"/>
      <c r="D24" s="448"/>
      <c r="E24" s="2611"/>
      <c r="F24" s="448"/>
      <c r="G24" s="2611"/>
      <c r="H24" s="448"/>
      <c r="I24" s="447"/>
      <c r="J24" s="448"/>
      <c r="K24" s="672"/>
      <c r="L24" s="1132"/>
      <c r="M24" s="1133"/>
      <c r="N24" s="1133"/>
      <c r="O24" s="1134"/>
      <c r="P24" s="3180"/>
      <c r="Q24" s="1794"/>
      <c r="R24" s="770"/>
      <c r="S24" s="771"/>
      <c r="T24" s="770"/>
      <c r="U24" s="771"/>
      <c r="V24" s="770"/>
      <c r="W24" s="771"/>
      <c r="X24" s="772"/>
      <c r="Y24" s="3180"/>
      <c r="Z24" s="55"/>
      <c r="AA24" s="773">
        <v>1</v>
      </c>
      <c r="AB24" s="773">
        <v>1</v>
      </c>
      <c r="AC24" s="773">
        <v>1</v>
      </c>
    </row>
    <row r="25" spans="1:29" s="117" customFormat="1" ht="42">
      <c r="A25" s="649"/>
      <c r="B25" s="633" t="s">
        <v>2649</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0"/>
      <c r="Q25" s="1794" t="str">
        <f>B25</f>
        <v>基础设施水平</v>
      </c>
      <c r="R25" s="770" t="s">
        <v>17</v>
      </c>
      <c r="S25" s="771">
        <f>F25</f>
        <v>100</v>
      </c>
      <c r="T25" s="770" t="s">
        <v>17</v>
      </c>
      <c r="U25" s="771">
        <f>H25</f>
        <v>100</v>
      </c>
      <c r="V25" s="770" t="s">
        <v>17</v>
      </c>
      <c r="W25" s="771">
        <f>J25</f>
        <v>100</v>
      </c>
      <c r="X25" s="772"/>
      <c r="Y25" s="3180"/>
      <c r="Z25" s="55" t="str">
        <f>Q25</f>
        <v>基础设施水平</v>
      </c>
      <c r="AA25" s="1810">
        <f>D25/F25</f>
        <v>1</v>
      </c>
      <c r="AB25" s="1810">
        <f>D25/H25</f>
        <v>1</v>
      </c>
      <c r="AC25" s="1810">
        <f>D25/J25</f>
        <v>1</v>
      </c>
    </row>
    <row r="26" spans="1:29" s="117" customFormat="1" ht="15.5">
      <c r="A26" s="649"/>
      <c r="B26" s="632"/>
      <c r="C26" s="2700"/>
      <c r="D26" s="448"/>
      <c r="E26" s="2701"/>
      <c r="F26" s="448"/>
      <c r="G26" s="2701"/>
      <c r="H26" s="448"/>
      <c r="I26" s="2701"/>
      <c r="J26" s="448"/>
      <c r="K26" s="672"/>
      <c r="L26" s="1132"/>
      <c r="M26" s="1133"/>
      <c r="N26" s="1133"/>
      <c r="O26" s="1134"/>
      <c r="P26" s="3180"/>
      <c r="Q26" s="1794"/>
      <c r="R26" s="770"/>
      <c r="S26" s="771"/>
      <c r="T26" s="770"/>
      <c r="U26" s="771"/>
      <c r="V26" s="770"/>
      <c r="W26" s="771"/>
      <c r="X26" s="772"/>
      <c r="Y26" s="3180"/>
      <c r="Z26" s="55"/>
      <c r="AA26" s="773">
        <v>1</v>
      </c>
      <c r="AB26" s="773">
        <v>1</v>
      </c>
      <c r="AC26" s="773">
        <v>1</v>
      </c>
    </row>
    <row r="27" spans="1:29" ht="15.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0"/>
      <c r="Q27" s="1809" t="str">
        <f t="shared" si="8"/>
        <v>临街状况</v>
      </c>
      <c r="R27" s="774" t="s">
        <v>17</v>
      </c>
      <c r="S27" s="775">
        <f t="shared" ref="S27:S40" si="9">F27</f>
        <v>100</v>
      </c>
      <c r="T27" s="774" t="s">
        <v>17</v>
      </c>
      <c r="U27" s="775">
        <f t="shared" ref="U27:U40" si="10">H27</f>
        <v>100</v>
      </c>
      <c r="V27" s="774" t="s">
        <v>17</v>
      </c>
      <c r="W27" s="775">
        <f t="shared" ref="W27:W40" si="11">J27</f>
        <v>100</v>
      </c>
      <c r="X27" s="1812"/>
      <c r="Y27" s="3180"/>
      <c r="Z27" s="1813" t="str">
        <f t="shared" ref="Z27:Z40" si="12">Q27</f>
        <v>临街状况</v>
      </c>
      <c r="AA27" s="1810">
        <f t="shared" si="3"/>
        <v>1</v>
      </c>
      <c r="AB27" s="1810">
        <f t="shared" si="4"/>
        <v>1</v>
      </c>
      <c r="AC27" s="1810">
        <f t="shared" si="5"/>
        <v>1</v>
      </c>
    </row>
    <row r="28" spans="1:29" ht="28">
      <c r="A28" s="428"/>
      <c r="B28" s="633" t="s">
        <v>2685</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0"/>
      <c r="Q28" s="1809" t="str">
        <f t="shared" si="8"/>
        <v>毗邻道路的类型与等级</v>
      </c>
      <c r="R28" s="774" t="s">
        <v>17</v>
      </c>
      <c r="S28" s="775">
        <f t="shared" si="9"/>
        <v>100</v>
      </c>
      <c r="T28" s="774" t="s">
        <v>17</v>
      </c>
      <c r="U28" s="775">
        <f t="shared" si="10"/>
        <v>100</v>
      </c>
      <c r="V28" s="774" t="s">
        <v>17</v>
      </c>
      <c r="W28" s="775">
        <f t="shared" si="11"/>
        <v>100</v>
      </c>
      <c r="X28" s="1812"/>
      <c r="Y28" s="3180"/>
      <c r="Z28" s="1813" t="str">
        <f t="shared" si="12"/>
        <v>毗邻道路的类型与等级</v>
      </c>
      <c r="AA28" s="1810">
        <f t="shared" si="3"/>
        <v>1</v>
      </c>
      <c r="AB28" s="1810">
        <f t="shared" si="4"/>
        <v>1</v>
      </c>
      <c r="AC28" s="1810">
        <f t="shared" si="5"/>
        <v>1</v>
      </c>
    </row>
    <row r="29" spans="1:29" ht="15.5">
      <c r="A29" s="428"/>
      <c r="B29" s="632"/>
      <c r="C29" s="447"/>
      <c r="D29" s="448"/>
      <c r="E29" s="2611"/>
      <c r="F29" s="448"/>
      <c r="G29" s="2611"/>
      <c r="H29" s="448"/>
      <c r="I29" s="2611"/>
      <c r="J29" s="448"/>
      <c r="K29" s="613"/>
      <c r="L29" s="1140"/>
      <c r="M29" s="1131"/>
      <c r="N29" s="1131"/>
      <c r="O29" s="1139"/>
      <c r="P29" s="3180"/>
      <c r="Q29" s="1809"/>
      <c r="R29" s="774"/>
      <c r="S29" s="775"/>
      <c r="T29" s="774"/>
      <c r="U29" s="775"/>
      <c r="V29" s="774"/>
      <c r="W29" s="775"/>
      <c r="X29" s="1812"/>
      <c r="Y29" s="3180"/>
      <c r="Z29" s="1813"/>
      <c r="AA29" s="1810">
        <v>1</v>
      </c>
      <c r="AB29" s="1810">
        <v>1</v>
      </c>
      <c r="AC29" s="1810">
        <v>1</v>
      </c>
    </row>
    <row r="30" spans="1:29" ht="15.5">
      <c r="A30" s="428"/>
      <c r="B30" s="654" t="s">
        <v>2744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0"/>
      <c r="Q30" s="1809" t="str">
        <f t="shared" si="8"/>
        <v>土地级别</v>
      </c>
      <c r="R30" s="774" t="s">
        <v>17</v>
      </c>
      <c r="S30" s="775">
        <f t="shared" si="9"/>
        <v>100</v>
      </c>
      <c r="T30" s="774" t="s">
        <v>17</v>
      </c>
      <c r="U30" s="775">
        <f t="shared" si="10"/>
        <v>100</v>
      </c>
      <c r="V30" s="774" t="s">
        <v>17</v>
      </c>
      <c r="W30" s="775">
        <f t="shared" si="11"/>
        <v>100</v>
      </c>
      <c r="X30" s="1812"/>
      <c r="Y30" s="3180"/>
      <c r="Z30" s="1813" t="str">
        <f t="shared" si="12"/>
        <v>土地级别</v>
      </c>
      <c r="AA30" s="1810">
        <f t="shared" si="3"/>
        <v>1</v>
      </c>
      <c r="AB30" s="1810">
        <f t="shared" si="4"/>
        <v>1</v>
      </c>
      <c r="AC30" s="1810">
        <f t="shared" si="5"/>
        <v>1</v>
      </c>
    </row>
    <row r="31" spans="1:29" ht="15.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0"/>
      <c r="Q31" s="1809">
        <f t="shared" si="8"/>
        <v>111</v>
      </c>
      <c r="R31" s="774" t="s">
        <v>17</v>
      </c>
      <c r="S31" s="775">
        <f t="shared" si="9"/>
        <v>100</v>
      </c>
      <c r="T31" s="774" t="s">
        <v>17</v>
      </c>
      <c r="U31" s="775">
        <f t="shared" si="10"/>
        <v>100</v>
      </c>
      <c r="V31" s="774" t="s">
        <v>17</v>
      </c>
      <c r="W31" s="775">
        <f t="shared" si="11"/>
        <v>100</v>
      </c>
      <c r="X31" s="1812"/>
      <c r="Y31" s="3180"/>
      <c r="Z31" s="1813">
        <f t="shared" si="12"/>
        <v>111</v>
      </c>
      <c r="AA31" s="1810">
        <f t="shared" si="3"/>
        <v>1</v>
      </c>
      <c r="AB31" s="1810">
        <f t="shared" si="4"/>
        <v>1</v>
      </c>
      <c r="AC31" s="1810">
        <f t="shared" si="5"/>
        <v>1</v>
      </c>
    </row>
    <row r="32" spans="1:29" ht="15.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1" t="s">
        <v>2559</v>
      </c>
      <c r="Q32" s="1809">
        <f t="shared" si="8"/>
        <v>111</v>
      </c>
      <c r="R32" s="774" t="s">
        <v>17</v>
      </c>
      <c r="S32" s="775">
        <f t="shared" si="9"/>
        <v>100</v>
      </c>
      <c r="T32" s="774" t="s">
        <v>17</v>
      </c>
      <c r="U32" s="775">
        <f t="shared" si="10"/>
        <v>100</v>
      </c>
      <c r="V32" s="774" t="s">
        <v>17</v>
      </c>
      <c r="W32" s="775">
        <f t="shared" si="11"/>
        <v>100</v>
      </c>
      <c r="X32" s="1812"/>
      <c r="Y32" s="3182" t="s">
        <v>2559</v>
      </c>
      <c r="Z32" s="1813">
        <f t="shared" si="12"/>
        <v>111</v>
      </c>
      <c r="AA32" s="1810">
        <f t="shared" si="3"/>
        <v>1</v>
      </c>
      <c r="AB32" s="1810">
        <f t="shared" si="4"/>
        <v>1</v>
      </c>
      <c r="AC32" s="1810">
        <f t="shared" si="5"/>
        <v>1</v>
      </c>
    </row>
    <row r="33" spans="1:29" s="471" customFormat="1" ht="16"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2"/>
      <c r="Q33" s="1809">
        <f t="shared" si="8"/>
        <v>111</v>
      </c>
      <c r="R33" s="777" t="s">
        <v>17</v>
      </c>
      <c r="S33" s="778">
        <f t="shared" si="9"/>
        <v>100</v>
      </c>
      <c r="T33" s="777" t="s">
        <v>17</v>
      </c>
      <c r="U33" s="778">
        <f t="shared" si="10"/>
        <v>100</v>
      </c>
      <c r="V33" s="777" t="s">
        <v>17</v>
      </c>
      <c r="W33" s="778">
        <f t="shared" si="11"/>
        <v>100</v>
      </c>
      <c r="X33" s="779"/>
      <c r="Y33" s="3182"/>
      <c r="Z33" s="780">
        <f t="shared" si="12"/>
        <v>111</v>
      </c>
      <c r="AA33" s="1810">
        <f t="shared" si="3"/>
        <v>1</v>
      </c>
      <c r="AB33" s="1810">
        <f t="shared" si="4"/>
        <v>1</v>
      </c>
      <c r="AC33" s="1810">
        <f t="shared" si="5"/>
        <v>1</v>
      </c>
    </row>
    <row r="34" spans="1:29" ht="15.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2"/>
      <c r="Q34" s="1809" t="str">
        <f>B34</f>
        <v>宗地面积</v>
      </c>
      <c r="R34" s="774" t="s">
        <v>17</v>
      </c>
      <c r="S34" s="775" t="e">
        <f t="shared" si="9"/>
        <v>#N/A</v>
      </c>
      <c r="T34" s="774" t="s">
        <v>17</v>
      </c>
      <c r="U34" s="775" t="e">
        <f t="shared" si="10"/>
        <v>#N/A</v>
      </c>
      <c r="V34" s="774" t="s">
        <v>17</v>
      </c>
      <c r="W34" s="775" t="e">
        <f t="shared" si="11"/>
        <v>#N/A</v>
      </c>
      <c r="X34" s="1812"/>
      <c r="Y34" s="3182"/>
      <c r="Z34" s="1813" t="str">
        <f t="shared" si="12"/>
        <v>宗地面积</v>
      </c>
      <c r="AA34" s="1810" t="e">
        <f t="shared" si="3"/>
        <v>#N/A</v>
      </c>
      <c r="AB34" s="1810" t="e">
        <f t="shared" si="4"/>
        <v>#N/A</v>
      </c>
      <c r="AC34" s="1810" t="e">
        <f t="shared" si="5"/>
        <v>#N/A</v>
      </c>
    </row>
    <row r="35" spans="1:29" ht="15.5">
      <c r="A35" s="472"/>
      <c r="B35" s="422" t="s">
        <v>2746</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82"/>
      <c r="Q35" s="1809" t="str">
        <f t="shared" ref="Q35:Q40" si="13">B35</f>
        <v>宗地形状</v>
      </c>
      <c r="R35" s="774" t="s">
        <v>17</v>
      </c>
      <c r="S35" s="775">
        <f t="shared" si="9"/>
        <v>100</v>
      </c>
      <c r="T35" s="774" t="s">
        <v>17</v>
      </c>
      <c r="U35" s="775">
        <f t="shared" si="10"/>
        <v>100</v>
      </c>
      <c r="V35" s="774" t="s">
        <v>17</v>
      </c>
      <c r="W35" s="775">
        <f t="shared" si="11"/>
        <v>100</v>
      </c>
      <c r="X35" s="1812"/>
      <c r="Y35" s="3182"/>
      <c r="Z35" s="1813" t="str">
        <f t="shared" si="12"/>
        <v>宗地形状</v>
      </c>
      <c r="AA35" s="1810">
        <f t="shared" si="3"/>
        <v>1</v>
      </c>
      <c r="AB35" s="1810">
        <f t="shared" si="4"/>
        <v>1</v>
      </c>
      <c r="AC35" s="1810">
        <f t="shared" si="5"/>
        <v>1</v>
      </c>
    </row>
    <row r="36" spans="1:29" s="117" customFormat="1" ht="15.5">
      <c r="A36" s="473"/>
      <c r="B36" s="422" t="s">
        <v>2748</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182"/>
      <c r="Q36" s="1809" t="str">
        <f t="shared" si="13"/>
        <v>宗地开发程度</v>
      </c>
      <c r="R36" s="770" t="s">
        <v>17</v>
      </c>
      <c r="S36" s="771">
        <f t="shared" si="9"/>
        <v>100</v>
      </c>
      <c r="T36" s="770" t="s">
        <v>17</v>
      </c>
      <c r="U36" s="771">
        <f t="shared" si="10"/>
        <v>100</v>
      </c>
      <c r="V36" s="770" t="s">
        <v>17</v>
      </c>
      <c r="W36" s="771">
        <f t="shared" si="11"/>
        <v>100</v>
      </c>
      <c r="X36" s="772"/>
      <c r="Y36" s="3182"/>
      <c r="Z36" s="55" t="str">
        <f t="shared" si="12"/>
        <v>宗地开发程度</v>
      </c>
      <c r="AA36" s="773">
        <f t="shared" si="3"/>
        <v>1</v>
      </c>
      <c r="AB36" s="773">
        <f t="shared" si="4"/>
        <v>1</v>
      </c>
      <c r="AC36" s="773">
        <f t="shared" si="5"/>
        <v>1</v>
      </c>
    </row>
    <row r="37" spans="1:29" ht="15.5">
      <c r="A37" s="472"/>
      <c r="B37" s="422" t="s">
        <v>2749</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82" t="s">
        <v>2559</v>
      </c>
      <c r="Q37" s="1809" t="str">
        <f t="shared" si="13"/>
        <v>工程地质条件</v>
      </c>
      <c r="R37" s="774" t="s">
        <v>17</v>
      </c>
      <c r="S37" s="775">
        <f t="shared" si="9"/>
        <v>100</v>
      </c>
      <c r="T37" s="774" t="s">
        <v>17</v>
      </c>
      <c r="U37" s="775">
        <f t="shared" si="10"/>
        <v>100</v>
      </c>
      <c r="V37" s="774" t="s">
        <v>17</v>
      </c>
      <c r="W37" s="775">
        <f t="shared" si="11"/>
        <v>100</v>
      </c>
      <c r="X37" s="1812"/>
      <c r="Y37" s="3182" t="s">
        <v>2559</v>
      </c>
      <c r="Z37" s="1813" t="str">
        <f t="shared" si="12"/>
        <v>工程地质条件</v>
      </c>
      <c r="AA37" s="1810">
        <f t="shared" si="3"/>
        <v>1</v>
      </c>
      <c r="AB37" s="1810">
        <f t="shared" si="4"/>
        <v>1</v>
      </c>
      <c r="AC37" s="1810">
        <f t="shared" si="5"/>
        <v>1</v>
      </c>
    </row>
    <row r="38" spans="1:29" ht="15.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2"/>
      <c r="Q38" s="1809">
        <f t="shared" si="13"/>
        <v>111</v>
      </c>
      <c r="R38" s="774" t="s">
        <v>17</v>
      </c>
      <c r="S38" s="775">
        <f t="shared" si="9"/>
        <v>100</v>
      </c>
      <c r="T38" s="774" t="s">
        <v>17</v>
      </c>
      <c r="U38" s="775">
        <f t="shared" si="10"/>
        <v>100</v>
      </c>
      <c r="V38" s="774" t="s">
        <v>17</v>
      </c>
      <c r="W38" s="775">
        <f t="shared" si="11"/>
        <v>100</v>
      </c>
      <c r="X38" s="1812"/>
      <c r="Y38" s="3182"/>
      <c r="Z38" s="1813">
        <f t="shared" si="12"/>
        <v>111</v>
      </c>
      <c r="AA38" s="1810">
        <f t="shared" si="3"/>
        <v>1</v>
      </c>
      <c r="AB38" s="1810">
        <f t="shared" si="4"/>
        <v>1</v>
      </c>
      <c r="AC38" s="1810">
        <f t="shared" si="5"/>
        <v>1</v>
      </c>
    </row>
    <row r="39" spans="1:29" ht="15.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2"/>
      <c r="Q39" s="1809">
        <f t="shared" si="13"/>
        <v>111</v>
      </c>
      <c r="R39" s="774" t="s">
        <v>17</v>
      </c>
      <c r="S39" s="775">
        <f t="shared" si="9"/>
        <v>100</v>
      </c>
      <c r="T39" s="774" t="s">
        <v>17</v>
      </c>
      <c r="U39" s="775">
        <f t="shared" si="10"/>
        <v>100</v>
      </c>
      <c r="V39" s="774" t="s">
        <v>17</v>
      </c>
      <c r="W39" s="775">
        <f t="shared" si="11"/>
        <v>100</v>
      </c>
      <c r="X39" s="1812"/>
      <c r="Y39" s="3182"/>
      <c r="Z39" s="1813">
        <f t="shared" si="12"/>
        <v>111</v>
      </c>
      <c r="AA39" s="1810">
        <f t="shared" si="3"/>
        <v>1</v>
      </c>
      <c r="AB39" s="1810">
        <f t="shared" si="4"/>
        <v>1</v>
      </c>
      <c r="AC39" s="1810">
        <f t="shared" si="5"/>
        <v>1</v>
      </c>
    </row>
    <row r="40" spans="1:29" s="471" customFormat="1" ht="16"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2"/>
      <c r="Q40" s="1809">
        <f t="shared" si="13"/>
        <v>111</v>
      </c>
      <c r="R40" s="777" t="s">
        <v>17</v>
      </c>
      <c r="S40" s="778">
        <f t="shared" si="9"/>
        <v>100</v>
      </c>
      <c r="T40" s="777" t="s">
        <v>17</v>
      </c>
      <c r="U40" s="778">
        <f t="shared" si="10"/>
        <v>100</v>
      </c>
      <c r="V40" s="777" t="s">
        <v>17</v>
      </c>
      <c r="W40" s="778">
        <f t="shared" si="11"/>
        <v>100</v>
      </c>
      <c r="X40" s="779"/>
      <c r="Y40" s="3182"/>
      <c r="Z40" s="780">
        <f t="shared" si="12"/>
        <v>111</v>
      </c>
      <c r="AA40" s="1810">
        <f t="shared" si="3"/>
        <v>1</v>
      </c>
      <c r="AB40" s="1810">
        <f t="shared" si="4"/>
        <v>1</v>
      </c>
      <c r="AC40" s="1810">
        <f t="shared" si="5"/>
        <v>1</v>
      </c>
    </row>
    <row r="41" spans="1:29">
      <c r="A41" s="479" t="s">
        <v>2714</v>
      </c>
      <c r="B41" s="2704" t="s">
        <v>2794</v>
      </c>
      <c r="C41" s="682" t="s">
        <v>1</v>
      </c>
      <c r="D41" s="481"/>
      <c r="E41" s="482"/>
      <c r="F41" s="483"/>
      <c r="G41" s="484"/>
      <c r="H41" s="485"/>
      <c r="I41" s="482"/>
      <c r="J41" s="485"/>
      <c r="K41" s="783"/>
      <c r="L41" s="1143"/>
      <c r="M41" s="1131"/>
      <c r="N41" s="1131"/>
      <c r="O41" s="1144"/>
      <c r="P41" s="3177" t="str">
        <f>A41</f>
        <v>成交单价</v>
      </c>
      <c r="Q41" s="3177"/>
      <c r="R41" s="3183">
        <f>E41</f>
        <v>0</v>
      </c>
      <c r="S41" s="3183"/>
      <c r="T41" s="3183">
        <f>G41</f>
        <v>0</v>
      </c>
      <c r="U41" s="3183"/>
      <c r="V41" s="3183">
        <f>I41</f>
        <v>0</v>
      </c>
      <c r="W41" s="3183"/>
      <c r="X41" s="759"/>
      <c r="Y41" s="781"/>
      <c r="Z41" s="759"/>
      <c r="AA41" s="759"/>
      <c r="AB41" s="759"/>
      <c r="AC41" s="759"/>
    </row>
    <row r="42" spans="1:29" ht="14.5" thickBot="1">
      <c r="A42" s="486" t="s">
        <v>2663</v>
      </c>
      <c r="B42" s="683"/>
      <c r="C42" s="490" t="e">
        <f>R43</f>
        <v>#DIV/0!</v>
      </c>
      <c r="D42" s="489"/>
      <c r="E42" s="490" t="e">
        <f>R42</f>
        <v>#DIV/0!</v>
      </c>
      <c r="F42" s="491"/>
      <c r="G42" s="488" t="e">
        <f>T42</f>
        <v>#DIV/0!</v>
      </c>
      <c r="H42" s="489"/>
      <c r="I42" s="490" t="e">
        <f>V42</f>
        <v>#DIV/0!</v>
      </c>
      <c r="J42" s="489"/>
      <c r="K42" s="784"/>
      <c r="L42" s="1143"/>
      <c r="M42" s="1131"/>
      <c r="N42" s="1131"/>
      <c r="O42" s="1144"/>
      <c r="P42" s="3177" t="str">
        <f>A42</f>
        <v>比较价值（元/平方米）</v>
      </c>
      <c r="Q42" s="3177"/>
      <c r="R42" s="3170" t="e">
        <f>ROUND(PRODUCT(R41,AA7:AA40),0)</f>
        <v>#DIV/0!</v>
      </c>
      <c r="S42" s="3170"/>
      <c r="T42" s="3170" t="e">
        <f>ROUND(PRODUCT(T41,AB7:AB40),0)</f>
        <v>#DIV/0!</v>
      </c>
      <c r="U42" s="3170"/>
      <c r="V42" s="3170" t="e">
        <f>ROUND(PRODUCT(V41,AC7:AC40),0)</f>
        <v>#DIV/0!</v>
      </c>
      <c r="W42" s="3170"/>
      <c r="X42" s="759"/>
      <c r="Y42" s="759"/>
      <c r="Z42" s="759"/>
      <c r="AA42" s="759"/>
      <c r="AB42" s="759"/>
      <c r="AC42" s="759"/>
    </row>
    <row r="43" spans="1:29" ht="14.5" thickBot="1">
      <c r="A43" s="492" t="s">
        <v>2664</v>
      </c>
      <c r="B43" s="493"/>
      <c r="C43" s="494" t="e">
        <f>R43</f>
        <v>#DIV/0!</v>
      </c>
      <c r="D43" s="494"/>
      <c r="E43" s="494"/>
      <c r="F43" s="494"/>
      <c r="G43" s="494"/>
      <c r="H43" s="494"/>
      <c r="I43" s="494"/>
      <c r="J43" s="494"/>
      <c r="K43" s="785"/>
      <c r="L43" s="1143"/>
      <c r="M43" s="1131"/>
      <c r="N43" s="1131"/>
      <c r="O43" s="1144"/>
      <c r="P43" s="3171" t="str">
        <f>A43</f>
        <v>估价对象XX用房的比较价值（楼面单价，元/平方米）</v>
      </c>
      <c r="Q43" s="3172"/>
      <c r="R43" s="3173" t="e">
        <f>ROUND(AVERAGE(R42:V42),0)</f>
        <v>#DIV/0!</v>
      </c>
      <c r="S43" s="3173"/>
      <c r="T43" s="3173"/>
      <c r="U43" s="3173"/>
      <c r="V43" s="3173"/>
      <c r="W43" s="317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5" thickBot="1">
      <c r="A49" s="1145"/>
      <c r="B49" s="1146"/>
      <c r="C49" s="762"/>
      <c r="D49" s="760"/>
      <c r="E49" s="760"/>
      <c r="F49" s="760"/>
      <c r="G49" s="760"/>
      <c r="H49" s="760"/>
      <c r="I49" s="760"/>
      <c r="J49" s="760"/>
      <c r="K49" s="1148"/>
      <c r="L49" s="1149"/>
      <c r="M49" s="1145"/>
      <c r="N49" s="1145"/>
      <c r="O49" s="1145"/>
    </row>
    <row r="50" spans="1:17" ht="28">
      <c r="A50" s="684" t="s">
        <v>2752</v>
      </c>
      <c r="B50" s="685" t="s">
        <v>2753</v>
      </c>
      <c r="C50" s="2705" t="s">
        <v>2754</v>
      </c>
      <c r="D50" s="2706" t="s">
        <v>2755</v>
      </c>
      <c r="E50" s="686" t="s">
        <v>2756</v>
      </c>
      <c r="F50" s="687" t="s">
        <v>2757</v>
      </c>
      <c r="G50" s="3174" t="s">
        <v>2758</v>
      </c>
      <c r="H50" s="3175"/>
      <c r="I50" s="1813" t="s">
        <v>2795</v>
      </c>
      <c r="J50" s="1813">
        <f>项目基本情况!F35</f>
        <v>0</v>
      </c>
      <c r="K50" s="2708" t="s">
        <v>2760</v>
      </c>
      <c r="L50" s="1106"/>
      <c r="M50" s="1144"/>
      <c r="N50" s="1144"/>
      <c r="O50" s="1144"/>
    </row>
    <row r="51" spans="1:17" s="692" customFormat="1">
      <c r="A51" s="688" t="s">
        <v>2761</v>
      </c>
      <c r="B51" s="689" t="e">
        <f>C43</f>
        <v>#DIV/0!</v>
      </c>
      <c r="C51" s="690">
        <v>1</v>
      </c>
      <c r="D51" s="1163">
        <v>1</v>
      </c>
      <c r="E51" s="690">
        <f>'数据-汇总表'!E8+'数据-汇总表'!E9</f>
        <v>127439.59000000001</v>
      </c>
      <c r="F51" s="691" t="e">
        <f t="shared" ref="F51:F60" si="14">ROUND(B51*E51/10000,0)</f>
        <v>#DIV/0!</v>
      </c>
      <c r="G51" s="3176"/>
      <c r="H51" s="3177"/>
      <c r="I51" s="942">
        <v>1</v>
      </c>
      <c r="J51" s="942">
        <v>1</v>
      </c>
      <c r="K51" s="1145"/>
      <c r="L51" s="941"/>
      <c r="M51" s="941"/>
      <c r="N51" s="941"/>
      <c r="O51" s="941"/>
    </row>
    <row r="52" spans="1:17" s="692" customFormat="1">
      <c r="A52" s="693" t="s">
        <v>2762</v>
      </c>
      <c r="B52" s="262" t="e">
        <f>ROUND($C$43*C52*D52,0)</f>
        <v>#DIV/0!</v>
      </c>
      <c r="C52" s="200">
        <f t="shared" ref="C52:C60" si="15">IF($C$50="北京市系数",I52,J52)</f>
        <v>0</v>
      </c>
      <c r="D52" s="1164">
        <v>0.25</v>
      </c>
      <c r="E52" s="694"/>
      <c r="F52" s="691" t="e">
        <f t="shared" si="14"/>
        <v>#DIV/0!</v>
      </c>
      <c r="G52" s="3178" t="s">
        <v>2763</v>
      </c>
      <c r="H52" s="1104">
        <f>项目基本情况!B37</f>
        <v>0</v>
      </c>
      <c r="I52" s="942">
        <f>SUMIF(修正!A45:A56,H52,修正!B45:B56)</f>
        <v>0</v>
      </c>
      <c r="J52" s="943"/>
      <c r="K52" s="1144"/>
      <c r="L52" s="941"/>
      <c r="M52" s="941"/>
      <c r="N52" s="941"/>
      <c r="O52" s="941"/>
    </row>
    <row r="53" spans="1:17" s="692" customFormat="1">
      <c r="A53" s="693" t="s">
        <v>2764</v>
      </c>
      <c r="B53" s="262" t="e">
        <f t="shared" ref="B53:B60" si="16">ROUND($C$43*C53*D53,0)</f>
        <v>#DIV/0!</v>
      </c>
      <c r="C53" s="200">
        <f t="shared" si="15"/>
        <v>0</v>
      </c>
      <c r="D53" s="1164">
        <v>0.25</v>
      </c>
      <c r="E53" s="694"/>
      <c r="F53" s="691" t="e">
        <f t="shared" si="14"/>
        <v>#DIV/0!</v>
      </c>
      <c r="G53" s="3178"/>
      <c r="H53" s="1104">
        <f>项目基本情况!B37</f>
        <v>0</v>
      </c>
      <c r="I53" s="942">
        <f>SUMIF(修正!A45:A56,H53,修正!C45:C56)</f>
        <v>0</v>
      </c>
      <c r="J53" s="943"/>
      <c r="K53" s="1145"/>
      <c r="L53" s="941"/>
      <c r="M53" s="941"/>
      <c r="N53" s="941"/>
      <c r="O53" s="941"/>
    </row>
    <row r="54" spans="1:17" s="692" customFormat="1">
      <c r="A54" s="693" t="s">
        <v>2765</v>
      </c>
      <c r="B54" s="262" t="e">
        <f t="shared" si="16"/>
        <v>#DIV/0!</v>
      </c>
      <c r="C54" s="200">
        <f t="shared" si="15"/>
        <v>0</v>
      </c>
      <c r="D54" s="1164">
        <v>0.25</v>
      </c>
      <c r="E54" s="694"/>
      <c r="F54" s="691" t="e">
        <f t="shared" si="14"/>
        <v>#DIV/0!</v>
      </c>
      <c r="G54" s="3178"/>
      <c r="H54" s="1104">
        <f>项目基本情况!B37</f>
        <v>0</v>
      </c>
      <c r="I54" s="942">
        <f>SUMIF(修正!A45:A56,H54,修正!D45:D56)</f>
        <v>0</v>
      </c>
      <c r="J54" s="943"/>
      <c r="K54" s="1144"/>
      <c r="L54" s="941"/>
      <c r="M54" s="941"/>
      <c r="N54" s="941"/>
      <c r="O54" s="941"/>
    </row>
    <row r="55" spans="1:17" s="692" customFormat="1">
      <c r="A55" s="693" t="s">
        <v>2766</v>
      </c>
      <c r="B55" s="262" t="e">
        <f t="shared" si="16"/>
        <v>#DIV/0!</v>
      </c>
      <c r="C55" s="200">
        <f t="shared" si="15"/>
        <v>0</v>
      </c>
      <c r="D55" s="1164">
        <v>0.25</v>
      </c>
      <c r="E55" s="694"/>
      <c r="F55" s="691" t="e">
        <f t="shared" si="14"/>
        <v>#DIV/0!</v>
      </c>
      <c r="G55" s="3178"/>
      <c r="H55" s="1104">
        <f>项目基本情况!B37</f>
        <v>0</v>
      </c>
      <c r="I55" s="942">
        <f>SUMIF(修正!A45:A56,H55,修正!E45:E56)</f>
        <v>0</v>
      </c>
      <c r="J55" s="943"/>
      <c r="K55" s="1145"/>
      <c r="L55" s="941"/>
      <c r="M55" s="941"/>
      <c r="N55" s="941"/>
      <c r="O55" s="941"/>
    </row>
    <row r="56" spans="1:17" s="692" customFormat="1">
      <c r="A56" s="693" t="s">
        <v>2767</v>
      </c>
      <c r="B56" s="262" t="e">
        <f t="shared" si="16"/>
        <v>#DIV/0!</v>
      </c>
      <c r="C56" s="200">
        <f t="shared" si="15"/>
        <v>0</v>
      </c>
      <c r="D56" s="1164">
        <v>0.25</v>
      </c>
      <c r="E56" s="261">
        <f>'数据-汇总表'!E11</f>
        <v>0</v>
      </c>
      <c r="F56" s="691" t="e">
        <f t="shared" si="14"/>
        <v>#DIV/0!</v>
      </c>
      <c r="G56" s="2709" t="s">
        <v>2768</v>
      </c>
      <c r="H56" s="1104">
        <f>项目基本情况!C37</f>
        <v>0</v>
      </c>
      <c r="I56" s="942">
        <f>SUMIF(修正!A45:A56,H56,修正!F45:F56)</f>
        <v>0</v>
      </c>
      <c r="J56" s="943"/>
      <c r="K56" s="1144"/>
      <c r="L56" s="941"/>
      <c r="M56" s="941"/>
      <c r="N56" s="941"/>
      <c r="O56" s="941"/>
    </row>
    <row r="57" spans="1:17" s="692" customFormat="1">
      <c r="A57" s="693" t="s">
        <v>2769</v>
      </c>
      <c r="B57" s="262" t="e">
        <f t="shared" si="16"/>
        <v>#DIV/0!</v>
      </c>
      <c r="C57" s="200">
        <f t="shared" si="15"/>
        <v>0</v>
      </c>
      <c r="D57" s="1164">
        <v>0.25</v>
      </c>
      <c r="E57" s="261">
        <f>'数据-汇总表'!E12</f>
        <v>0</v>
      </c>
      <c r="F57" s="691" t="e">
        <f t="shared" si="14"/>
        <v>#DIV/0!</v>
      </c>
      <c r="G57" s="1109" t="s">
        <v>2770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2771</v>
      </c>
      <c r="B58" s="262" t="e">
        <f t="shared" si="16"/>
        <v>#DIV/0!</v>
      </c>
      <c r="C58" s="200">
        <f t="shared" si="15"/>
        <v>0</v>
      </c>
      <c r="D58" s="1164">
        <v>0.25</v>
      </c>
      <c r="E58" s="261">
        <f>'数据-汇总表'!E13</f>
        <v>0</v>
      </c>
      <c r="F58" s="691" t="e">
        <f t="shared" si="14"/>
        <v>#DIV/0!</v>
      </c>
      <c r="G58" s="1109" t="s">
        <v>2772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2773</v>
      </c>
      <c r="B59" s="262" t="e">
        <f t="shared" si="16"/>
        <v>#DIV/0!</v>
      </c>
      <c r="C59" s="200">
        <f t="shared" si="15"/>
        <v>0</v>
      </c>
      <c r="D59" s="1164">
        <v>0.25</v>
      </c>
      <c r="E59" s="261">
        <f>'数据-汇总表'!E14</f>
        <v>0</v>
      </c>
      <c r="F59" s="691" t="e">
        <f t="shared" si="14"/>
        <v>#DIV/0!</v>
      </c>
      <c r="G59" s="2709" t="s">
        <v>2763</v>
      </c>
      <c r="H59" s="1104">
        <f>项目基本情况!B37</f>
        <v>0</v>
      </c>
      <c r="I59" s="942">
        <f>SUMIF(修正!A45:A56,H59,修正!H45:H56)</f>
        <v>0</v>
      </c>
      <c r="J59" s="943"/>
      <c r="K59" s="1145"/>
      <c r="L59" s="941"/>
      <c r="M59" s="941"/>
      <c r="N59" s="941"/>
      <c r="O59" s="941"/>
    </row>
    <row r="60" spans="1:17" s="692" customFormat="1" ht="14.5" thickBot="1">
      <c r="A60" s="693" t="s">
        <v>2774</v>
      </c>
      <c r="B60" s="262" t="e">
        <f t="shared" si="16"/>
        <v>#DIV/0!</v>
      </c>
      <c r="C60" s="200">
        <f t="shared" si="15"/>
        <v>0</v>
      </c>
      <c r="D60" s="1164">
        <v>0.25</v>
      </c>
      <c r="E60" s="261">
        <f>'数据-汇总表'!E15</f>
        <v>0</v>
      </c>
      <c r="F60" s="691" t="e">
        <f t="shared" si="14"/>
        <v>#DIV/0!</v>
      </c>
      <c r="G60" s="2710" t="s">
        <v>2768</v>
      </c>
      <c r="H60" s="1114">
        <f>项目基本情况!C37</f>
        <v>0</v>
      </c>
      <c r="I60" s="942">
        <f>SUMIF(修正!A45:A56,H60,修正!H45:H56)</f>
        <v>0</v>
      </c>
      <c r="J60" s="943"/>
      <c r="K60" s="1144"/>
      <c r="L60" s="941"/>
      <c r="M60" s="941"/>
      <c r="N60" s="941"/>
      <c r="O60" s="941"/>
    </row>
    <row r="61" spans="1:17" s="692" customFormat="1" ht="14.5" thickBot="1">
      <c r="A61" s="695" t="s">
        <v>2775</v>
      </c>
      <c r="B61" s="696" t="s">
        <v>28</v>
      </c>
      <c r="C61" s="696" t="s">
        <v>29</v>
      </c>
      <c r="D61" s="696" t="s">
        <v>1025</v>
      </c>
      <c r="E61" s="696">
        <f>IF(B41="楼面地价",SUM(E51:E60),'数据-汇总表'!D3)</f>
        <v>29206.66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2020-2-1</v>
      </c>
      <c r="D63" s="761">
        <f>EDATE(C63,-3)</f>
        <v>43770</v>
      </c>
      <c r="E63" s="761">
        <f>EDATE(D63,-3)</f>
        <v>43678</v>
      </c>
      <c r="F63" s="761">
        <f t="shared" ref="F63:O63" si="17">EDATE(E63,-3)</f>
        <v>43586</v>
      </c>
      <c r="G63" s="761">
        <f t="shared" si="17"/>
        <v>43497</v>
      </c>
      <c r="H63" s="761">
        <f t="shared" si="17"/>
        <v>43405</v>
      </c>
      <c r="I63" s="761">
        <f t="shared" si="17"/>
        <v>43313</v>
      </c>
      <c r="J63" s="761">
        <f t="shared" si="17"/>
        <v>43221</v>
      </c>
      <c r="K63" s="761">
        <f t="shared" si="17"/>
        <v>43132</v>
      </c>
      <c r="L63" s="761">
        <f t="shared" si="17"/>
        <v>43040</v>
      </c>
      <c r="M63" s="761">
        <f t="shared" si="17"/>
        <v>42948</v>
      </c>
      <c r="N63" s="761">
        <f t="shared" si="17"/>
        <v>42856</v>
      </c>
      <c r="O63" s="761">
        <f t="shared" si="17"/>
        <v>42767</v>
      </c>
    </row>
    <row r="64" spans="1:17" ht="21.5" thickBot="1">
      <c r="A64" s="763" t="s">
        <v>2668</v>
      </c>
      <c r="B64" s="759"/>
      <c r="C64" s="764"/>
      <c r="D64" s="764"/>
      <c r="E64" s="764"/>
      <c r="F64" s="765"/>
      <c r="G64" s="765"/>
      <c r="H64" s="764"/>
      <c r="I64" s="764"/>
      <c r="J64" s="764"/>
      <c r="K64" s="766"/>
      <c r="L64" s="767"/>
      <c r="M64" s="764"/>
      <c r="N64" s="764"/>
      <c r="O64" s="1159"/>
      <c r="P64" s="503"/>
      <c r="Q64" s="504"/>
    </row>
    <row r="65" spans="1:17" s="508" customFormat="1">
      <c r="A65" s="2711" t="s">
        <v>2776</v>
      </c>
      <c r="B65" s="1359"/>
      <c r="C65" s="1571" t="str">
        <f>YEAR(C63)&amp;"-"&amp;ROUNDUP(MONTH(C63)/3,0)</f>
        <v>2020-1</v>
      </c>
      <c r="D65" s="1571" t="str">
        <f t="shared" ref="D65:O65" si="18">YEAR(D63)&amp;"-"&amp;ROUNDUP(MONTH(D63)/3,0)</f>
        <v>2019-4</v>
      </c>
      <c r="E65" s="1571" t="str">
        <f t="shared" si="18"/>
        <v>2019-3</v>
      </c>
      <c r="F65" s="1571" t="str">
        <f t="shared" si="18"/>
        <v>2019-2</v>
      </c>
      <c r="G65" s="1571" t="str">
        <f t="shared" si="18"/>
        <v>2019-1</v>
      </c>
      <c r="H65" s="1571" t="str">
        <f t="shared" si="18"/>
        <v>2018-4</v>
      </c>
      <c r="I65" s="1571" t="str">
        <f t="shared" si="18"/>
        <v>2018-3</v>
      </c>
      <c r="J65" s="1571" t="str">
        <f t="shared" si="18"/>
        <v>2018-2</v>
      </c>
      <c r="K65" s="1571" t="str">
        <f t="shared" si="18"/>
        <v>2018-1</v>
      </c>
      <c r="L65" s="1571" t="str">
        <f t="shared" si="18"/>
        <v>2017-4</v>
      </c>
      <c r="M65" s="1571" t="str">
        <f t="shared" si="18"/>
        <v>2017-3</v>
      </c>
      <c r="N65" s="1571" t="str">
        <f t="shared" si="18"/>
        <v>2017-2</v>
      </c>
      <c r="O65" s="1571" t="str">
        <f t="shared" si="18"/>
        <v>2017-1</v>
      </c>
      <c r="P65" s="507"/>
    </row>
    <row r="66" spans="1:17" s="117" customFormat="1" ht="30.75" customHeight="1">
      <c r="A66" s="2716" t="s">
        <v>2796</v>
      </c>
      <c r="B66" s="332" t="str">
        <f>"北京市平均增长率"&amp;TEXT(基准地价修正!P24,"0.00%")</f>
        <v>北京市平均增长率1.35%</v>
      </c>
      <c r="C66" s="603">
        <v>100</v>
      </c>
      <c r="D66" s="595"/>
      <c r="E66" s="595"/>
      <c r="F66" s="595"/>
      <c r="G66" s="595"/>
      <c r="H66" s="595"/>
      <c r="I66" s="595"/>
      <c r="J66" s="595"/>
      <c r="K66" s="595"/>
      <c r="L66" s="595"/>
      <c r="M66" s="1567"/>
      <c r="N66" s="1567"/>
      <c r="O66" s="1568"/>
      <c r="P66" s="504"/>
    </row>
    <row r="67" spans="1:17" s="117" customFormat="1" ht="14.5" thickBot="1">
      <c r="A67" s="515" t="s">
        <v>2579</v>
      </c>
      <c r="B67" s="516"/>
      <c r="C67" s="517"/>
      <c r="D67" s="518"/>
      <c r="E67" s="518"/>
      <c r="F67" s="518"/>
      <c r="G67" s="518"/>
      <c r="H67" s="518"/>
      <c r="I67" s="518"/>
      <c r="J67" s="518"/>
      <c r="K67" s="518"/>
      <c r="L67" s="518"/>
      <c r="M67" s="519"/>
      <c r="N67" s="519"/>
      <c r="O67" s="520"/>
      <c r="P67" s="504"/>
      <c r="Q67" s="504"/>
    </row>
    <row r="68" spans="1:17" s="117" customFormat="1">
      <c r="A68" s="521" t="s">
        <v>2544</v>
      </c>
      <c r="B68" s="510"/>
      <c r="C68" s="522" t="s">
        <v>2646</v>
      </c>
      <c r="D68" s="523"/>
      <c r="E68" s="523"/>
      <c r="F68" s="523"/>
      <c r="G68" s="523"/>
      <c r="H68" s="523"/>
      <c r="I68" s="523"/>
      <c r="J68" s="523"/>
      <c r="K68" s="523"/>
      <c r="L68" s="524"/>
      <c r="M68" s="525"/>
      <c r="N68" s="1151"/>
      <c r="O68" s="1151"/>
      <c r="P68" s="526"/>
      <c r="Q68" s="504"/>
    </row>
    <row r="69" spans="1:17" s="117" customFormat="1" ht="14.5" thickBot="1">
      <c r="A69" s="521"/>
      <c r="B69" s="510"/>
      <c r="C69" s="639">
        <v>100</v>
      </c>
      <c r="D69" s="512"/>
      <c r="E69" s="512"/>
      <c r="F69" s="512"/>
      <c r="G69" s="512"/>
      <c r="H69" s="512"/>
      <c r="I69" s="512"/>
      <c r="J69" s="512"/>
      <c r="K69" s="512"/>
      <c r="L69" s="512"/>
      <c r="M69" s="514"/>
      <c r="N69" s="1151"/>
      <c r="O69" s="1151"/>
      <c r="P69" s="504"/>
      <c r="Q69" s="504"/>
    </row>
    <row r="70" spans="1:17">
      <c r="A70" s="527" t="s">
        <v>2582</v>
      </c>
      <c r="B70" s="528" t="s">
        <v>2548</v>
      </c>
      <c r="C70" s="530"/>
      <c r="D70" s="530"/>
      <c r="E70" s="530"/>
      <c r="F70" s="530"/>
      <c r="G70" s="530"/>
      <c r="H70" s="530"/>
      <c r="I70" s="530"/>
      <c r="J70" s="530"/>
      <c r="K70" s="531"/>
      <c r="L70" s="532"/>
      <c r="M70" s="533"/>
      <c r="N70" s="1152"/>
      <c r="O70" s="1152"/>
      <c r="P70" s="45"/>
      <c r="Q70" s="504"/>
    </row>
    <row r="71" spans="1:17" ht="14.5" thickBot="1">
      <c r="A71" s="534"/>
      <c r="B71" s="535"/>
      <c r="C71" s="536"/>
      <c r="D71" s="536"/>
      <c r="E71" s="536"/>
      <c r="F71" s="536"/>
      <c r="G71" s="536"/>
      <c r="H71" s="536"/>
      <c r="I71" s="536"/>
      <c r="J71" s="536"/>
      <c r="K71" s="536"/>
      <c r="L71" s="536"/>
      <c r="M71" s="537"/>
      <c r="N71" s="1153"/>
      <c r="O71" s="1153"/>
      <c r="P71" s="45"/>
      <c r="Q71" s="504"/>
    </row>
    <row r="72" spans="1:17" ht="28.5" thickTop="1">
      <c r="A72" s="534"/>
      <c r="B72" s="538" t="s">
        <v>2551</v>
      </c>
      <c r="C72" s="539"/>
      <c r="D72" s="539"/>
      <c r="E72" s="539"/>
      <c r="F72" s="539"/>
      <c r="G72" s="539"/>
      <c r="H72" s="539"/>
      <c r="I72" s="539"/>
      <c r="J72" s="539"/>
      <c r="K72" s="540"/>
      <c r="L72" s="541"/>
      <c r="M72" s="542"/>
      <c r="N72" s="1152"/>
      <c r="O72" s="1152"/>
      <c r="P72" s="45"/>
      <c r="Q72" s="504"/>
    </row>
    <row r="73" spans="1:17" ht="14.5" thickBot="1">
      <c r="A73" s="534"/>
      <c r="B73" s="543"/>
      <c r="C73" s="544"/>
      <c r="D73" s="544"/>
      <c r="E73" s="544"/>
      <c r="F73" s="544"/>
      <c r="G73" s="544"/>
      <c r="H73" s="544"/>
      <c r="I73" s="544"/>
      <c r="J73" s="544"/>
      <c r="K73" s="544"/>
      <c r="L73" s="544"/>
      <c r="M73" s="545"/>
      <c r="N73" s="1153"/>
      <c r="O73" s="1153"/>
      <c r="P73" s="45"/>
      <c r="Q73" s="504"/>
    </row>
    <row r="74" spans="1:17" ht="14.5" thickTop="1">
      <c r="A74" s="534"/>
      <c r="B74" s="546" t="s">
        <v>2552</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3"/>
      <c r="O76" s="1153"/>
      <c r="P76" s="45"/>
      <c r="Q76" s="504"/>
    </row>
    <row r="77" spans="1:17" s="471" customFormat="1" ht="14.5" thickTop="1">
      <c r="A77" s="553"/>
      <c r="B77" s="538">
        <f>B12</f>
        <v>111</v>
      </c>
      <c r="C77" s="554"/>
      <c r="D77" s="554"/>
      <c r="E77" s="554"/>
      <c r="F77" s="554"/>
      <c r="G77" s="554"/>
      <c r="H77" s="555"/>
      <c r="I77" s="555"/>
      <c r="J77" s="555"/>
      <c r="K77" s="555"/>
      <c r="L77" s="556"/>
      <c r="M77" s="557"/>
      <c r="N77" s="1154"/>
      <c r="O77" s="1154"/>
      <c r="P77" s="558"/>
      <c r="Q77" s="559"/>
    </row>
    <row r="78" spans="1:17" s="471" customFormat="1" ht="14.5" thickBot="1">
      <c r="A78" s="553"/>
      <c r="B78" s="543"/>
      <c r="C78" s="560"/>
      <c r="D78" s="536"/>
      <c r="E78" s="536"/>
      <c r="F78" s="536"/>
      <c r="G78" s="536"/>
      <c r="H78" s="536"/>
      <c r="I78" s="536"/>
      <c r="J78" s="536"/>
      <c r="K78" s="536"/>
      <c r="L78" s="536"/>
      <c r="M78" s="537"/>
      <c r="N78" s="1153"/>
      <c r="O78" s="1153"/>
      <c r="P78" s="558"/>
      <c r="Q78" s="559"/>
    </row>
    <row r="79" spans="1:17" s="471" customFormat="1" ht="14.5" thickTop="1">
      <c r="A79" s="553"/>
      <c r="B79" s="538">
        <f>B13</f>
        <v>111</v>
      </c>
      <c r="C79" s="554"/>
      <c r="D79" s="554"/>
      <c r="E79" s="554"/>
      <c r="F79" s="554"/>
      <c r="G79" s="554"/>
      <c r="H79" s="555"/>
      <c r="I79" s="555"/>
      <c r="J79" s="555"/>
      <c r="K79" s="555"/>
      <c r="L79" s="556"/>
      <c r="M79" s="557"/>
      <c r="N79" s="1154"/>
      <c r="O79" s="1154"/>
      <c r="P79" s="470"/>
      <c r="Q79" s="561"/>
    </row>
    <row r="80" spans="1:17" s="471" customFormat="1" ht="14.5" thickBot="1">
      <c r="A80" s="553"/>
      <c r="B80" s="543"/>
      <c r="C80" s="560"/>
      <c r="D80" s="560"/>
      <c r="E80" s="560"/>
      <c r="F80" s="560"/>
      <c r="G80" s="560"/>
      <c r="H80" s="562"/>
      <c r="I80" s="562"/>
      <c r="J80" s="562"/>
      <c r="K80" s="562"/>
      <c r="L80" s="562"/>
      <c r="M80" s="563"/>
      <c r="N80" s="1154"/>
      <c r="O80" s="1154"/>
      <c r="P80" s="558"/>
      <c r="Q80" s="559"/>
    </row>
    <row r="81" spans="1:17" s="471" customFormat="1" ht="14.5" thickTop="1">
      <c r="A81" s="553"/>
      <c r="B81" s="546">
        <f>B14</f>
        <v>111</v>
      </c>
      <c r="C81" s="523"/>
      <c r="D81" s="523"/>
      <c r="E81" s="523"/>
      <c r="F81" s="523"/>
      <c r="G81" s="523"/>
      <c r="H81" s="564"/>
      <c r="I81" s="564"/>
      <c r="J81" s="564"/>
      <c r="K81" s="564"/>
      <c r="L81" s="565"/>
      <c r="M81" s="566"/>
      <c r="N81" s="1154"/>
      <c r="O81" s="1154"/>
      <c r="P81" s="567"/>
      <c r="Q81" s="559"/>
    </row>
    <row r="82" spans="1:17" s="471" customFormat="1" ht="14.5" thickBot="1">
      <c r="A82" s="568"/>
      <c r="B82" s="569"/>
      <c r="C82" s="570"/>
      <c r="D82" s="570"/>
      <c r="E82" s="570"/>
      <c r="F82" s="570"/>
      <c r="G82" s="570"/>
      <c r="H82" s="571"/>
      <c r="I82" s="571"/>
      <c r="J82" s="571"/>
      <c r="K82" s="571"/>
      <c r="L82" s="571"/>
      <c r="M82" s="572"/>
      <c r="N82" s="1154"/>
      <c r="O82" s="1154"/>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2"/>
      <c r="O83" s="1152"/>
      <c r="P83" s="577"/>
      <c r="Q83" s="504"/>
    </row>
    <row r="84" spans="1:17" ht="14.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4.5" thickTop="1">
      <c r="A85" s="534"/>
      <c r="B85" s="538" t="s">
        <v>2596</v>
      </c>
      <c r="C85" s="578" t="s">
        <v>2591</v>
      </c>
      <c r="D85" s="578" t="s">
        <v>2592</v>
      </c>
      <c r="E85" s="578" t="s">
        <v>2593</v>
      </c>
      <c r="F85" s="578" t="s">
        <v>2594</v>
      </c>
      <c r="G85" s="578" t="s">
        <v>2595</v>
      </c>
      <c r="H85" s="539"/>
      <c r="I85" s="539"/>
      <c r="J85" s="539"/>
      <c r="K85" s="540"/>
      <c r="L85" s="541"/>
      <c r="M85" s="542"/>
      <c r="N85" s="1152"/>
      <c r="O85" s="1152"/>
      <c r="P85" s="45"/>
      <c r="Q85" s="504"/>
    </row>
    <row r="86" spans="1:17" ht="14.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8.5" thickTop="1">
      <c r="A87" s="579"/>
      <c r="B87" s="538" t="s">
        <v>2779</v>
      </c>
      <c r="C87" s="573" t="s">
        <v>2591</v>
      </c>
      <c r="D87" s="573" t="s">
        <v>2592</v>
      </c>
      <c r="E87" s="573" t="s">
        <v>2593</v>
      </c>
      <c r="F87" s="573" t="s">
        <v>2594</v>
      </c>
      <c r="G87" s="573" t="s">
        <v>2595</v>
      </c>
      <c r="H87" s="578"/>
      <c r="I87" s="578"/>
      <c r="J87" s="578"/>
      <c r="K87" s="578"/>
      <c r="L87" s="698"/>
      <c r="M87" s="622"/>
      <c r="N87" s="1151"/>
      <c r="O87" s="1151"/>
      <c r="P87" s="45"/>
      <c r="Q87" s="504"/>
    </row>
    <row r="88" spans="1:17" s="117" customFormat="1" ht="14.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8.5" thickTop="1">
      <c r="A89" s="579"/>
      <c r="B89" s="538" t="s">
        <v>2780</v>
      </c>
      <c r="C89" s="573" t="s">
        <v>2591</v>
      </c>
      <c r="D89" s="573" t="s">
        <v>2592</v>
      </c>
      <c r="E89" s="573" t="s">
        <v>2593</v>
      </c>
      <c r="F89" s="573" t="s">
        <v>2594</v>
      </c>
      <c r="G89" s="573" t="s">
        <v>2595</v>
      </c>
      <c r="H89" s="578"/>
      <c r="I89" s="578"/>
      <c r="J89" s="578"/>
      <c r="K89" s="578"/>
      <c r="L89" s="578"/>
      <c r="M89" s="622"/>
      <c r="N89" s="1151"/>
      <c r="O89" s="1151"/>
      <c r="P89" s="45"/>
      <c r="Q89" s="504"/>
    </row>
    <row r="90" spans="1:17" s="117" customFormat="1" ht="14.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4.5" thickTop="1">
      <c r="A91" s="553"/>
      <c r="B91" s="538" t="s">
        <v>2648</v>
      </c>
      <c r="C91" s="573" t="s">
        <v>2591</v>
      </c>
      <c r="D91" s="573" t="s">
        <v>2592</v>
      </c>
      <c r="E91" s="573" t="s">
        <v>2593</v>
      </c>
      <c r="F91" s="573" t="s">
        <v>2594</v>
      </c>
      <c r="G91" s="573" t="s">
        <v>2595</v>
      </c>
      <c r="H91" s="600"/>
      <c r="I91" s="600"/>
      <c r="J91" s="600"/>
      <c r="K91" s="600"/>
      <c r="L91" s="601"/>
      <c r="M91" s="602"/>
      <c r="N91" s="1154"/>
      <c r="O91" s="1154"/>
      <c r="P91" s="558"/>
      <c r="Q91" s="559"/>
    </row>
    <row r="92" spans="1:17" s="471" customFormat="1" ht="14.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4.5" thickTop="1">
      <c r="A93" s="553"/>
      <c r="B93" s="546" t="s">
        <v>2797</v>
      </c>
      <c r="C93" s="660" t="s">
        <v>2669</v>
      </c>
      <c r="D93" s="660" t="s">
        <v>2670</v>
      </c>
      <c r="E93" s="660" t="s">
        <v>2671</v>
      </c>
      <c r="F93" s="660" t="s">
        <v>2672</v>
      </c>
      <c r="G93" s="660" t="s">
        <v>2673</v>
      </c>
      <c r="H93" s="600"/>
      <c r="I93" s="600"/>
      <c r="J93" s="600"/>
      <c r="K93" s="600"/>
      <c r="L93" s="600"/>
      <c r="M93" s="602"/>
      <c r="N93" s="1154"/>
      <c r="O93" s="1154"/>
      <c r="P93" s="558"/>
      <c r="Q93" s="559"/>
    </row>
    <row r="94" spans="1:17" s="471" customFormat="1" ht="14.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4.5" thickTop="1">
      <c r="A95" s="534"/>
      <c r="B95" s="538" t="str">
        <f>B27</f>
        <v>临街状况</v>
      </c>
      <c r="C95" s="539" t="s">
        <v>2781</v>
      </c>
      <c r="D95" s="539" t="s">
        <v>2782</v>
      </c>
      <c r="E95" s="539" t="s">
        <v>2783</v>
      </c>
      <c r="F95" s="539" t="s">
        <v>2784</v>
      </c>
      <c r="G95" s="539"/>
      <c r="H95" s="539"/>
      <c r="I95" s="539"/>
      <c r="J95" s="539"/>
      <c r="K95" s="540"/>
      <c r="L95" s="541"/>
      <c r="M95" s="542"/>
      <c r="N95" s="1152"/>
      <c r="O95" s="1152"/>
      <c r="P95" s="45"/>
      <c r="Q95" s="504"/>
    </row>
    <row r="96" spans="1:17" ht="14.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3"/>
      <c r="O96" s="1153"/>
      <c r="P96" s="45"/>
      <c r="Q96" s="504"/>
    </row>
    <row r="97" spans="1:17" ht="28.5" thickTop="1">
      <c r="A97" s="534"/>
      <c r="B97" s="538" t="s">
        <v>2685</v>
      </c>
      <c r="C97" s="554"/>
      <c r="D97" s="554"/>
      <c r="E97" s="554"/>
      <c r="F97" s="554"/>
      <c r="G97" s="554"/>
      <c r="H97" s="583"/>
      <c r="I97" s="583"/>
      <c r="J97" s="583"/>
      <c r="K97" s="584"/>
      <c r="L97" s="585"/>
      <c r="M97" s="586"/>
      <c r="N97" s="1152"/>
      <c r="O97" s="1152"/>
      <c r="P97" s="45"/>
      <c r="Q97" s="504"/>
    </row>
    <row r="98" spans="1:17" ht="14.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3"/>
      <c r="O98" s="1153"/>
      <c r="P98" s="45"/>
      <c r="Q98" s="504"/>
    </row>
    <row r="99" spans="1:17" ht="14.5" thickTop="1">
      <c r="A99" s="534"/>
      <c r="B99" s="538" t="s">
        <v>2744</v>
      </c>
      <c r="C99" s="583"/>
      <c r="D99" s="583"/>
      <c r="E99" s="583"/>
      <c r="F99" s="583"/>
      <c r="G99" s="583"/>
      <c r="H99" s="583"/>
      <c r="I99" s="583"/>
      <c r="J99" s="583"/>
      <c r="K99" s="584"/>
      <c r="L99" s="585"/>
      <c r="M99" s="586"/>
      <c r="N99" s="1152"/>
      <c r="O99" s="1152"/>
      <c r="P99" s="45"/>
      <c r="Q99" s="504"/>
    </row>
    <row r="100" spans="1:17" ht="14.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3"/>
      <c r="O100" s="1153"/>
      <c r="P100" s="45"/>
      <c r="Q100" s="504"/>
    </row>
    <row r="101" spans="1:17" ht="14.5" thickTop="1">
      <c r="A101" s="534"/>
      <c r="B101" s="546">
        <f>B31</f>
        <v>111</v>
      </c>
      <c r="C101" s="554"/>
      <c r="D101" s="554"/>
      <c r="E101" s="554"/>
      <c r="F101" s="554"/>
      <c r="G101" s="587"/>
      <c r="H101" s="587"/>
      <c r="I101" s="587"/>
      <c r="J101" s="587"/>
      <c r="K101" s="588"/>
      <c r="L101" s="589"/>
      <c r="M101" s="590"/>
      <c r="N101" s="1152"/>
      <c r="O101" s="1152"/>
      <c r="P101" s="45"/>
      <c r="Q101" s="504"/>
    </row>
    <row r="102" spans="1:17" ht="14.5" thickBot="1">
      <c r="A102" s="534"/>
      <c r="B102" s="569"/>
      <c r="C102" s="560"/>
      <c r="D102" s="536"/>
      <c r="E102" s="536"/>
      <c r="F102" s="536"/>
      <c r="G102" s="591"/>
      <c r="H102" s="591"/>
      <c r="I102" s="591"/>
      <c r="J102" s="591"/>
      <c r="K102" s="591"/>
      <c r="L102" s="591"/>
      <c r="M102" s="592"/>
      <c r="N102" s="1153"/>
      <c r="O102" s="1153"/>
      <c r="P102" s="45"/>
      <c r="Q102" s="504"/>
    </row>
    <row r="103" spans="1:17" ht="14.5" thickTop="1">
      <c r="A103" s="675"/>
      <c r="B103" s="538">
        <f>B32</f>
        <v>111</v>
      </c>
      <c r="C103" s="554"/>
      <c r="D103" s="554"/>
      <c r="E103" s="554"/>
      <c r="F103" s="554"/>
      <c r="G103" s="583"/>
      <c r="H103" s="583"/>
      <c r="I103" s="583"/>
      <c r="J103" s="583"/>
      <c r="K103" s="584"/>
      <c r="L103" s="585"/>
      <c r="M103" s="586"/>
      <c r="N103" s="1152"/>
      <c r="O103" s="1152"/>
      <c r="P103" s="45"/>
      <c r="Q103" s="504"/>
    </row>
    <row r="104" spans="1:17" ht="14.5" thickBot="1">
      <c r="A104" s="534"/>
      <c r="B104" s="543"/>
      <c r="C104" s="560"/>
      <c r="D104" s="560"/>
      <c r="E104" s="560"/>
      <c r="F104" s="560"/>
      <c r="G104" s="536"/>
      <c r="H104" s="536"/>
      <c r="I104" s="536"/>
      <c r="J104" s="536"/>
      <c r="K104" s="536"/>
      <c r="L104" s="536"/>
      <c r="M104" s="537"/>
      <c r="N104" s="1153"/>
      <c r="O104" s="1153"/>
      <c r="P104" s="45"/>
      <c r="Q104" s="504"/>
    </row>
    <row r="105" spans="1:17" s="471" customFormat="1" ht="14.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5" thickBot="1">
      <c r="A106" s="553"/>
      <c r="B106" s="546"/>
      <c r="C106" s="570"/>
      <c r="D106" s="570"/>
      <c r="E106" s="570"/>
      <c r="F106" s="570"/>
      <c r="G106" s="677"/>
      <c r="H106" s="677"/>
      <c r="I106" s="677"/>
      <c r="J106" s="677"/>
      <c r="K106" s="677"/>
      <c r="L106" s="677"/>
      <c r="M106" s="699"/>
      <c r="N106" s="1153"/>
      <c r="O106" s="1153"/>
      <c r="P106" s="558"/>
      <c r="Q106" s="559"/>
    </row>
    <row r="107" spans="1:17">
      <c r="A107" s="527" t="s">
        <v>2557</v>
      </c>
      <c r="B107" s="528" t="s">
        <v>2785</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5" t="str">
        <f t="shared" si="24"/>
        <v>(含)-</v>
      </c>
      <c r="L107" s="1765" t="str">
        <f t="shared" si="24"/>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5" thickBot="1">
      <c r="A109" s="534"/>
      <c r="B109" s="543"/>
      <c r="C109" s="570"/>
      <c r="D109" s="591"/>
      <c r="E109" s="591"/>
      <c r="F109" s="591"/>
      <c r="G109" s="591"/>
      <c r="H109" s="591"/>
      <c r="I109" s="591"/>
      <c r="J109" s="591"/>
      <c r="K109" s="591"/>
      <c r="L109" s="591"/>
      <c r="M109" s="592"/>
      <c r="N109" s="1153"/>
      <c r="O109" s="1153"/>
      <c r="P109" s="45"/>
      <c r="Q109" s="504"/>
    </row>
    <row r="110" spans="1:17" ht="14.5" thickTop="1">
      <c r="A110" s="599"/>
      <c r="B110" s="538" t="s">
        <v>2786</v>
      </c>
      <c r="C110" s="583"/>
      <c r="D110" s="583"/>
      <c r="E110" s="583"/>
      <c r="F110" s="583"/>
      <c r="G110" s="583"/>
      <c r="H110" s="583"/>
      <c r="I110" s="583"/>
      <c r="J110" s="583"/>
      <c r="K110" s="584"/>
      <c r="L110" s="585"/>
      <c r="M110" s="586"/>
      <c r="N110" s="1152"/>
      <c r="O110" s="1152"/>
      <c r="P110" s="45"/>
      <c r="Q110" s="504"/>
    </row>
    <row r="111" spans="1:17" ht="14.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3"/>
      <c r="O111" s="1153"/>
      <c r="P111" s="45"/>
      <c r="Q111" s="504"/>
    </row>
    <row r="112" spans="1:17" s="471" customFormat="1" ht="14.5" thickTop="1">
      <c r="A112" s="593"/>
      <c r="B112" s="538" t="s">
        <v>2788</v>
      </c>
      <c r="C112" s="554"/>
      <c r="D112" s="554"/>
      <c r="E112" s="554"/>
      <c r="F112" s="554"/>
      <c r="G112" s="554"/>
      <c r="H112" s="583"/>
      <c r="I112" s="583"/>
      <c r="J112" s="583"/>
      <c r="K112" s="584"/>
      <c r="L112" s="585"/>
      <c r="M112" s="586"/>
      <c r="N112" s="1154"/>
      <c r="O112" s="1154"/>
      <c r="P112" s="558"/>
      <c r="Q112" s="559"/>
    </row>
    <row r="113" spans="1:17" s="471" customFormat="1" ht="14.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4"/>
      <c r="O113" s="1154"/>
      <c r="P113" s="558"/>
      <c r="Q113" s="559"/>
    </row>
    <row r="114" spans="1:17" ht="14.5" thickTop="1">
      <c r="A114" s="599"/>
      <c r="B114" s="538" t="s">
        <v>2789</v>
      </c>
      <c r="C114" s="554"/>
      <c r="D114" s="554"/>
      <c r="E114" s="583"/>
      <c r="F114" s="583"/>
      <c r="G114" s="583"/>
      <c r="H114" s="583"/>
      <c r="I114" s="583"/>
      <c r="J114" s="583"/>
      <c r="K114" s="584"/>
      <c r="L114" s="585"/>
      <c r="M114" s="586"/>
      <c r="N114" s="1152"/>
      <c r="O114" s="1152"/>
      <c r="P114" s="45"/>
      <c r="Q114" s="504"/>
    </row>
    <row r="115" spans="1:17" ht="14.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3"/>
      <c r="O115" s="1153"/>
      <c r="P115" s="45"/>
      <c r="Q115" s="504"/>
    </row>
    <row r="116" spans="1:17" ht="14.5" thickTop="1">
      <c r="A116" s="599"/>
      <c r="B116" s="538">
        <f>B38</f>
        <v>111</v>
      </c>
      <c r="C116" s="554"/>
      <c r="D116" s="554"/>
      <c r="E116" s="554"/>
      <c r="F116" s="554"/>
      <c r="G116" s="554"/>
      <c r="H116" s="583"/>
      <c r="I116" s="583"/>
      <c r="J116" s="583"/>
      <c r="K116" s="584"/>
      <c r="L116" s="585"/>
      <c r="M116" s="586"/>
      <c r="N116" s="1152"/>
      <c r="O116" s="1152"/>
      <c r="P116" s="45"/>
      <c r="Q116" s="504"/>
    </row>
    <row r="117" spans="1:17" ht="14.5" thickBot="1">
      <c r="A117" s="534"/>
      <c r="B117" s="543"/>
      <c r="C117" s="560"/>
      <c r="D117" s="536"/>
      <c r="E117" s="536"/>
      <c r="F117" s="536"/>
      <c r="G117" s="536"/>
      <c r="H117" s="536"/>
      <c r="I117" s="536"/>
      <c r="J117" s="536"/>
      <c r="K117" s="536"/>
      <c r="L117" s="536"/>
      <c r="M117" s="537"/>
      <c r="N117" s="1153"/>
      <c r="O117" s="1153"/>
      <c r="P117" s="45"/>
      <c r="Q117" s="504"/>
    </row>
    <row r="118" spans="1:17" ht="14.5" thickTop="1">
      <c r="A118" s="599"/>
      <c r="B118" s="538">
        <f>B39</f>
        <v>111</v>
      </c>
      <c r="C118" s="554"/>
      <c r="D118" s="554"/>
      <c r="E118" s="554"/>
      <c r="F118" s="554"/>
      <c r="G118" s="583"/>
      <c r="H118" s="583"/>
      <c r="I118" s="583"/>
      <c r="J118" s="583"/>
      <c r="K118" s="584"/>
      <c r="L118" s="585"/>
      <c r="M118" s="586"/>
      <c r="N118" s="1152"/>
      <c r="O118" s="1152"/>
      <c r="P118" s="45"/>
      <c r="Q118" s="504"/>
    </row>
    <row r="119" spans="1:17" ht="14.5" thickBot="1">
      <c r="A119" s="534"/>
      <c r="B119" s="543"/>
      <c r="C119" s="560"/>
      <c r="D119" s="560"/>
      <c r="E119" s="560"/>
      <c r="F119" s="560"/>
      <c r="G119" s="536"/>
      <c r="H119" s="536"/>
      <c r="I119" s="536"/>
      <c r="J119" s="536"/>
      <c r="K119" s="536"/>
      <c r="L119" s="536"/>
      <c r="M119" s="537"/>
      <c r="N119" s="1153"/>
      <c r="O119" s="1153"/>
      <c r="P119" s="45"/>
      <c r="Q119" s="504"/>
    </row>
    <row r="120" spans="1:17" s="471" customFormat="1" ht="14.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zoomScale="80" zoomScaleNormal="80" zoomScaleSheetLayoutView="96" workbookViewId="0">
      <selection activeCell="H19" sqref="H19"/>
    </sheetView>
  </sheetViews>
  <sheetFormatPr defaultColWidth="12" defaultRowHeight="12.5"/>
  <cols>
    <col min="1" max="1" width="9.81640625" style="2788" customWidth="1"/>
    <col min="2" max="2" width="19.1796875" style="2894" customWidth="1"/>
    <col min="3" max="4" width="12" style="2720"/>
    <col min="5" max="5" width="14.6328125" style="2720" customWidth="1"/>
    <col min="6" max="8" width="12" style="2720"/>
    <col min="9" max="9" width="12.1796875" style="2720" bestFit="1" customWidth="1"/>
    <col min="10" max="10" width="12" style="2720"/>
    <col min="11" max="11" width="8.08984375" style="2783" customWidth="1"/>
    <col min="12" max="12" width="12" style="2720"/>
    <col min="13" max="13" width="8.453125" style="2720" customWidth="1"/>
    <col min="14" max="14" width="9.81640625" style="2720" customWidth="1"/>
    <col min="15" max="25" width="12" style="2720"/>
    <col min="26" max="26" width="9.36328125" style="2788" customWidth="1"/>
    <col min="27" max="32" width="9.36328125" style="1372" customWidth="1"/>
    <col min="33" max="36" width="9.36328125" style="2788" customWidth="1"/>
    <col min="37" max="38" width="9.36328125" style="2720" customWidth="1"/>
    <col min="39" max="16384" width="12" style="2720"/>
  </cols>
  <sheetData>
    <row r="1" spans="1:36" ht="30">
      <c r="A1" s="240" t="s">
        <v>2798</v>
      </c>
      <c r="B1" s="241"/>
      <c r="C1" s="245" t="s">
        <v>2799</v>
      </c>
      <c r="D1" s="388">
        <f>SUM(D29:D30,D33:D39)</f>
        <v>0</v>
      </c>
      <c r="E1" s="2717"/>
      <c r="F1" s="2717"/>
      <c r="G1" s="2717"/>
      <c r="H1" s="2717"/>
      <c r="I1" s="2717"/>
      <c r="J1" s="2717"/>
      <c r="K1" s="1370"/>
      <c r="L1" s="2718" t="s">
        <v>2800</v>
      </c>
      <c r="M1" s="1080">
        <f>SUMPRODUCT((区片价!B5:B9=I2)*(区片价!C3:F3=E2)*(区片价!C5:F9))</f>
        <v>0</v>
      </c>
      <c r="N1" s="1083">
        <f>SUMPRODUCT((因素修正幅度!B5:B9=I2)*(因素修正幅度!C3:F3=E2)*(因素修正幅度!C5:F9))</f>
        <v>0</v>
      </c>
      <c r="O1" s="2719"/>
      <c r="P1" s="2719"/>
      <c r="Q1" s="1370"/>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5.5">
      <c r="A2" s="245" t="s">
        <v>2806</v>
      </c>
      <c r="B2" s="248" t="e">
        <f>C26</f>
        <v>#DIV/0!</v>
      </c>
      <c r="C2" s="2721" t="s">
        <v>2807</v>
      </c>
      <c r="D2" s="2722" t="s">
        <v>2808</v>
      </c>
      <c r="E2" s="2723"/>
      <c r="F2" s="2722" t="s">
        <v>2809</v>
      </c>
      <c r="G2" s="2724">
        <f>IF(E2="商业",项目基本情况!B37,IF(E2="办公",项目基本情况!C37,IF(E2="住宅",项目基本情况!D37,项目基本情况!E37)))</f>
        <v>0</v>
      </c>
      <c r="H2" s="2722" t="s">
        <v>2810</v>
      </c>
      <c r="I2" s="2724">
        <f>IF(E2="商业",项目基本情况!B38,IF(E2="办公",项目基本情况!C38,IF(E2="住宅",项目基本情况!D38,项目基本情况!E38)))</f>
        <v>0</v>
      </c>
      <c r="J2" s="2725"/>
      <c r="K2" s="1370"/>
      <c r="L2" s="2726" t="s">
        <v>2811</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5">
      <c r="A3" s="247" t="s">
        <v>2812</v>
      </c>
      <c r="B3" s="248" t="e">
        <f>ROUND(B2*10000/D1,0)</f>
        <v>#DIV/0!</v>
      </c>
      <c r="C3" s="2721" t="s">
        <v>2813</v>
      </c>
      <c r="D3" s="2722" t="s">
        <v>2814</v>
      </c>
      <c r="E3" s="2727"/>
      <c r="F3" s="2728" t="s">
        <v>2815</v>
      </c>
      <c r="G3" s="916">
        <f>IF(F3="宗地容积率",'数据-汇总表'!I4,IF(F3="估价对象容积率",'数据-汇总表'!I6,'数据-汇总表'!I7))</f>
        <v>3.07</v>
      </c>
      <c r="H3" s="198" t="s">
        <v>2816</v>
      </c>
      <c r="I3" s="944"/>
      <c r="J3" s="2725" t="s">
        <v>2817</v>
      </c>
      <c r="K3" s="1370"/>
      <c r="L3" s="2726" t="s">
        <v>2818</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5">
      <c r="A4" s="3270"/>
      <c r="B4" s="3271"/>
      <c r="C4" s="3271"/>
      <c r="D4" s="3272"/>
      <c r="E4" s="3272"/>
      <c r="F4" s="3272"/>
      <c r="G4" s="3272"/>
      <c r="H4" s="3272"/>
      <c r="I4" s="3272"/>
      <c r="J4" s="3273"/>
      <c r="K4" s="1370"/>
      <c r="L4" s="2726" t="s">
        <v>2819</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6" thickBot="1">
      <c r="A5" s="2729" t="s">
        <v>807</v>
      </c>
      <c r="B5" s="2730" t="s">
        <v>2820</v>
      </c>
      <c r="C5" s="917" t="e">
        <f>ROUND(IF(E2="商业",C6*C7+C16,(IF(E2="住宅",C6*C12+C16,C6+C16))),0)</f>
        <v>#DIV/0!</v>
      </c>
      <c r="D5" s="1786" t="e">
        <f>ROUND(C6+C16,0)</f>
        <v>#DIV/0!</v>
      </c>
      <c r="E5" s="1786"/>
      <c r="F5" s="2731"/>
      <c r="G5" s="2732"/>
      <c r="H5" s="2732"/>
      <c r="I5" s="2732"/>
      <c r="J5" s="2733"/>
      <c r="K5" s="2734"/>
      <c r="L5" s="2726" t="s">
        <v>2821</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6" thickBot="1">
      <c r="A6" s="2739" t="s">
        <v>2822</v>
      </c>
      <c r="B6" s="2740" t="s">
        <v>2823</v>
      </c>
      <c r="C6" s="918">
        <f>SUMIF(L1:L12,G2,M1:M12)</f>
        <v>0</v>
      </c>
      <c r="D6" s="2741" t="s">
        <v>2824</v>
      </c>
      <c r="E6" s="2742"/>
      <c r="F6" s="2742"/>
      <c r="G6" s="2743"/>
      <c r="H6" s="2743"/>
      <c r="I6" s="2743"/>
      <c r="J6" s="2744"/>
      <c r="K6" s="1841"/>
      <c r="L6" s="2726" t="s">
        <v>2825</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6">
      <c r="A7" s="3274" t="str">
        <f>IF(E2="商业",IF(C8="不临58条商业街","",2),"")</f>
        <v/>
      </c>
      <c r="B7" s="2745" t="s">
        <v>2826</v>
      </c>
      <c r="C7" s="919" t="e">
        <f>IF(C8="不临58条商业街",1,ROUND(1+(1.6*E8+1.2*E9+0.8*E10+0.4*E11)*C9,4))</f>
        <v>#DIV/0!</v>
      </c>
      <c r="D7" s="2746" t="s">
        <v>2827</v>
      </c>
      <c r="E7" s="945"/>
      <c r="F7" s="2747"/>
      <c r="G7" s="2748"/>
      <c r="H7" s="2748"/>
      <c r="I7" s="2748"/>
      <c r="J7" s="2749"/>
      <c r="K7" s="1841"/>
      <c r="L7" s="2726" t="s">
        <v>2828</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2829</v>
      </c>
      <c r="X7" s="1603">
        <f>G2</f>
        <v>0</v>
      </c>
      <c r="Y7" s="1603" t="s">
        <v>2830</v>
      </c>
      <c r="Z7" s="1604">
        <f>G3</f>
        <v>3.07</v>
      </c>
      <c r="AA7" s="1605"/>
      <c r="AB7" s="1605"/>
      <c r="AC7" s="1606"/>
      <c r="AD7" s="1607"/>
      <c r="AE7" s="1607"/>
      <c r="AF7" s="1607"/>
      <c r="AG7" s="1607"/>
      <c r="AH7" s="1607"/>
      <c r="AI7" s="1607"/>
      <c r="AJ7" s="1608"/>
    </row>
    <row r="8" spans="1:36" ht="15.5">
      <c r="A8" s="3275"/>
      <c r="B8" s="198" t="s">
        <v>2831</v>
      </c>
      <c r="C8" s="2750"/>
      <c r="D8" s="920" t="s">
        <v>139</v>
      </c>
      <c r="E8" s="921" t="e">
        <f>ROUND(C11/E7,4)</f>
        <v>#DIV/0!</v>
      </c>
      <c r="F8" s="2751" t="s">
        <v>2832</v>
      </c>
      <c r="G8" s="2752"/>
      <c r="H8" s="2752"/>
      <c r="I8" s="2752"/>
      <c r="J8" s="2753"/>
      <c r="K8" s="1370"/>
      <c r="L8" s="2726" t="s">
        <v>2833</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67" t="s">
        <v>2834</v>
      </c>
      <c r="X8" s="3268"/>
      <c r="Y8" s="1609" t="s">
        <v>2835</v>
      </c>
      <c r="Z8" s="1609" t="s">
        <v>2836</v>
      </c>
      <c r="AA8" s="1609" t="s">
        <v>2837</v>
      </c>
      <c r="AB8" s="1609" t="s">
        <v>2838</v>
      </c>
      <c r="AC8" s="1609" t="s">
        <v>2839</v>
      </c>
      <c r="AD8" s="1609" t="s">
        <v>2840</v>
      </c>
      <c r="AE8" s="1609" t="s">
        <v>2841</v>
      </c>
      <c r="AF8" s="1609" t="s">
        <v>2842</v>
      </c>
      <c r="AG8" s="1609" t="s">
        <v>2843</v>
      </c>
      <c r="AH8" s="1609" t="s">
        <v>2844</v>
      </c>
      <c r="AI8" s="1609" t="s">
        <v>2845</v>
      </c>
      <c r="AJ8" s="1609" t="s">
        <v>2846</v>
      </c>
    </row>
    <row r="9" spans="1:36" ht="15.5">
      <c r="A9" s="3275"/>
      <c r="B9" s="198" t="s">
        <v>2847</v>
      </c>
      <c r="C9" s="922">
        <f>SUMIF(修正!C59:C119,C8,修正!E59:E119)</f>
        <v>0</v>
      </c>
      <c r="D9" s="200" t="s">
        <v>140</v>
      </c>
      <c r="E9" s="200" t="e">
        <f>ROUND(C11/E7,4)</f>
        <v>#DIV/0!</v>
      </c>
      <c r="F9" s="2751" t="s">
        <v>2848</v>
      </c>
      <c r="G9" s="2752"/>
      <c r="H9" s="2752"/>
      <c r="I9" s="2752"/>
      <c r="J9" s="2753"/>
      <c r="K9" s="1370"/>
      <c r="L9" s="2726" t="s">
        <v>2849</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69" t="s">
        <v>2850</v>
      </c>
      <c r="X9" s="1610" t="s">
        <v>2851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5">
      <c r="A10" s="3275"/>
      <c r="B10" s="198" t="s">
        <v>2852</v>
      </c>
      <c r="C10" s="200">
        <f>SUMIF(修正!C59:C119,C8,修正!F59:F119)</f>
        <v>0</v>
      </c>
      <c r="D10" s="200" t="s">
        <v>141</v>
      </c>
      <c r="E10" s="200" t="e">
        <f>ROUND(C11/E7,4)</f>
        <v>#DIV/0!</v>
      </c>
      <c r="F10" s="2751" t="s">
        <v>2853</v>
      </c>
      <c r="G10" s="2752"/>
      <c r="H10" s="2752"/>
      <c r="I10" s="2752"/>
      <c r="J10" s="2753"/>
      <c r="K10" s="1370"/>
      <c r="L10" s="2726" t="s">
        <v>2854</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6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6" thickBot="1">
      <c r="A11" s="3275"/>
      <c r="B11" s="2754" t="s">
        <v>2855</v>
      </c>
      <c r="C11" s="923">
        <f>C10/4</f>
        <v>0</v>
      </c>
      <c r="D11" s="923" t="s">
        <v>142</v>
      </c>
      <c r="E11" s="923" t="e">
        <f>ROUND(C11/E7,4)</f>
        <v>#DIV/0!</v>
      </c>
      <c r="F11" s="2755" t="s">
        <v>2856</v>
      </c>
      <c r="G11" s="2756"/>
      <c r="H11" s="2756"/>
      <c r="I11" s="2756"/>
      <c r="J11" s="2757"/>
      <c r="K11" s="1370"/>
      <c r="L11" s="2726" t="s">
        <v>2857</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69" t="s">
        <v>2858</v>
      </c>
      <c r="X11" s="1613" t="s">
        <v>2859</v>
      </c>
      <c r="Y11" s="1614">
        <f>$G$3</f>
        <v>3.07</v>
      </c>
      <c r="Z11" s="1614">
        <f t="shared" ref="Z11:AJ11" si="3">$G$3</f>
        <v>3.07</v>
      </c>
      <c r="AA11" s="1614">
        <f t="shared" si="3"/>
        <v>3.07</v>
      </c>
      <c r="AB11" s="1614">
        <f t="shared" si="3"/>
        <v>3.07</v>
      </c>
      <c r="AC11" s="1614">
        <f t="shared" si="3"/>
        <v>3.07</v>
      </c>
      <c r="AD11" s="1614">
        <f t="shared" si="3"/>
        <v>3.07</v>
      </c>
      <c r="AE11" s="1614">
        <f t="shared" si="3"/>
        <v>3.07</v>
      </c>
      <c r="AF11" s="1614">
        <f t="shared" si="3"/>
        <v>3.07</v>
      </c>
      <c r="AG11" s="1614">
        <f t="shared" si="3"/>
        <v>3.07</v>
      </c>
      <c r="AH11" s="1614">
        <f t="shared" si="3"/>
        <v>3.07</v>
      </c>
      <c r="AI11" s="1614">
        <f t="shared" si="3"/>
        <v>3.07</v>
      </c>
      <c r="AJ11" s="1614">
        <f t="shared" si="3"/>
        <v>3.07</v>
      </c>
    </row>
    <row r="12" spans="1:36" ht="26.5" thickBot="1">
      <c r="A12" s="3274" t="s">
        <v>2860</v>
      </c>
      <c r="B12" s="2758" t="s">
        <v>2861</v>
      </c>
      <c r="C12" s="919">
        <f>ROUND(C15*D15*E15*F15*G15*H15*I15*J15,4)</f>
        <v>1</v>
      </c>
      <c r="D12" s="2759" t="s">
        <v>2862</v>
      </c>
      <c r="E12" s="2760"/>
      <c r="F12" s="2760"/>
      <c r="G12" s="2761"/>
      <c r="H12" s="2761"/>
      <c r="I12" s="2761"/>
      <c r="J12" s="2762"/>
      <c r="K12" s="1370"/>
      <c r="L12" s="2763" t="s">
        <v>2863</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69"/>
      <c r="X12" s="1615" t="s">
        <v>2864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6">
      <c r="A13" s="3276"/>
      <c r="B13" s="2764" t="s">
        <v>2865</v>
      </c>
      <c r="C13" s="2765" t="s">
        <v>2866</v>
      </c>
      <c r="D13" s="1807" t="s">
        <v>2867</v>
      </c>
      <c r="E13" s="1807" t="s">
        <v>2868</v>
      </c>
      <c r="F13" s="30" t="s">
        <v>2869</v>
      </c>
      <c r="G13" s="2766" t="s">
        <v>2870</v>
      </c>
      <c r="H13" s="2766" t="s">
        <v>2870</v>
      </c>
      <c r="I13" s="2766" t="s">
        <v>2870</v>
      </c>
      <c r="J13" s="2767" t="s">
        <v>2870</v>
      </c>
      <c r="K13" s="1370"/>
      <c r="L13" s="1370"/>
      <c r="M13" s="1370"/>
      <c r="N13" s="1370"/>
      <c r="O13" s="1370"/>
      <c r="P13" s="1370"/>
      <c r="Q13" s="1370"/>
      <c r="R13" s="1601">
        <v>12</v>
      </c>
      <c r="S13" s="1602"/>
      <c r="T13" s="1601" t="e">
        <f t="shared" si="0"/>
        <v>#DIV/0!</v>
      </c>
      <c r="U13" s="1602"/>
      <c r="V13" s="1601" t="e">
        <f t="shared" si="1"/>
        <v>#DIV/0!</v>
      </c>
      <c r="W13" s="3269"/>
      <c r="X13" s="1615"/>
      <c r="Y13" s="1612">
        <f>(-0.163*(Y12^2)-0.59*Y12+7617)*(10^(-4))/Y11</f>
        <v>0.24811074918566778</v>
      </c>
      <c r="Z13" s="1612">
        <f t="shared" ref="Z13:AJ13" si="5">(-0.163*(Z12^2)-0.59*Z12+7617)*(10^(-4))/Z11</f>
        <v>0.24811074918566778</v>
      </c>
      <c r="AA13" s="1612">
        <f t="shared" si="5"/>
        <v>0.24811074918566778</v>
      </c>
      <c r="AB13" s="1612">
        <f t="shared" si="5"/>
        <v>0.24811074918566778</v>
      </c>
      <c r="AC13" s="1612">
        <f t="shared" si="5"/>
        <v>0.24811074918566778</v>
      </c>
      <c r="AD13" s="1612">
        <f t="shared" si="5"/>
        <v>0.24811074918566778</v>
      </c>
      <c r="AE13" s="1612">
        <f t="shared" si="5"/>
        <v>0.24811074918566778</v>
      </c>
      <c r="AF13" s="1612">
        <f t="shared" si="5"/>
        <v>0.24811074918566778</v>
      </c>
      <c r="AG13" s="1612">
        <f t="shared" si="5"/>
        <v>0.24811074918566778</v>
      </c>
      <c r="AH13" s="1612">
        <f t="shared" si="5"/>
        <v>0.24811074918566778</v>
      </c>
      <c r="AI13" s="1612">
        <f t="shared" si="5"/>
        <v>0.24811074918566778</v>
      </c>
      <c r="AJ13" s="1612">
        <f t="shared" si="5"/>
        <v>0.24811074918566778</v>
      </c>
    </row>
    <row r="14" spans="1:36" ht="15.5">
      <c r="A14" s="3276"/>
      <c r="B14" s="2768"/>
      <c r="C14" s="2769"/>
      <c r="D14" s="2770"/>
      <c r="E14" s="2770"/>
      <c r="F14" s="2771"/>
      <c r="G14" s="2772" t="s">
        <v>2871</v>
      </c>
      <c r="H14" s="2773"/>
      <c r="I14" s="2774"/>
      <c r="J14" s="2775"/>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6" thickBot="1">
      <c r="A15" s="3277"/>
      <c r="B15" s="2776" t="s">
        <v>2872</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5" customHeight="1">
      <c r="A16" s="3274" t="s">
        <v>2877</v>
      </c>
      <c r="B16" s="2745" t="s">
        <v>2878</v>
      </c>
      <c r="C16" s="2932" t="e">
        <f>ROUND(IF(F17="与级别开发程度一致",0,(G17-E17)/C17),0)</f>
        <v>#DIV/0!</v>
      </c>
      <c r="D16" s="3288" t="s">
        <v>2882</v>
      </c>
      <c r="E16" s="3289"/>
      <c r="F16" s="3288" t="s">
        <v>2879</v>
      </c>
      <c r="G16" s="3289"/>
      <c r="H16" s="2779"/>
      <c r="I16" s="2779"/>
      <c r="J16" s="2936"/>
      <c r="K16" s="2779"/>
      <c r="L16" s="2779"/>
      <c r="M16" s="2779"/>
      <c r="N16" s="2779"/>
      <c r="O16" s="2780"/>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8"/>
      <c r="B17" s="2943" t="s">
        <v>2881</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4.5" thickBot="1">
      <c r="A18" s="2937" t="s">
        <v>808</v>
      </c>
      <c r="B18" s="2938" t="s">
        <v>2884</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8.5" thickBot="1">
      <c r="A19" s="2784" t="s">
        <v>809</v>
      </c>
      <c r="B19" s="2785" t="s">
        <v>2885</v>
      </c>
      <c r="C19" s="924" t="e">
        <f>ROUND(IF(H19="按公示增长率计算",SUMPRODUCT((地价!A3:A29=YEAR(G19)&amp;"-"&amp;ROUNDUP(MONTH(G19)/3,0))*(地价!X2:AB2=E2)*(地价!X3:AB29)),IF(H19="地价指数",M20/M19,(1+I19)^O19)),4)</f>
        <v>#VALUE!</v>
      </c>
      <c r="D19" s="2789" t="s">
        <v>2886</v>
      </c>
      <c r="E19" s="925">
        <v>41640</v>
      </c>
      <c r="F19" s="2789" t="s">
        <v>2887</v>
      </c>
      <c r="G19" s="926">
        <f>'数据-取费表'!B2</f>
        <v>43879</v>
      </c>
      <c r="H19" s="2790"/>
      <c r="I19" s="927" t="str">
        <f>IF(H19="季度增幅（自定义）",SUMIF(N21:N24,E2,O21:O24),"")</f>
        <v/>
      </c>
      <c r="J19" s="2787"/>
      <c r="K19" s="1377"/>
      <c r="L19" s="2791" t="s">
        <v>2888</v>
      </c>
      <c r="M19" s="1733">
        <f>ROUND(SUMIF(地价!B2:F2,E2,地价!B29:F29),0)</f>
        <v>0</v>
      </c>
      <c r="N19" s="2792" t="s">
        <v>2889</v>
      </c>
      <c r="O19" s="928">
        <f>ROUNDDOWN(DATEDIF(E19,G19,"M")/3,0)</f>
        <v>24</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8.5" thickBot="1">
      <c r="A20" s="2796" t="s">
        <v>810</v>
      </c>
      <c r="B20" s="2797" t="s">
        <v>2890</v>
      </c>
      <c r="C20" s="929" t="e">
        <f>ROUND(POWER(1+G20,J20-I20)*(POWER(1+G20,I20)-1)/(POWER(1+G20,J20)-1),4)</f>
        <v>#DIV/0!</v>
      </c>
      <c r="D20" s="2798" t="s">
        <v>2891</v>
      </c>
      <c r="E20" s="1767">
        <f ca="1">存贷款利率!D4/100</f>
        <v>4.3499999999999997E-2</v>
      </c>
      <c r="F20" s="2798" t="s">
        <v>2883</v>
      </c>
      <c r="G20" s="934">
        <f>SUMIF(M26:P26,E2,M28:P28)</f>
        <v>0</v>
      </c>
      <c r="H20" s="2798" t="s">
        <v>2892</v>
      </c>
      <c r="I20" s="935" t="e">
        <f>SUMIF('数据-取费表'!C6:C15,E2,'数据-取费表'!F6:F15)/COUNTIF('数据-取费表'!C6:C15,E2)</f>
        <v>#DIV/0!</v>
      </c>
      <c r="J20" s="936">
        <f>IF(E2="住宅",70,IF(E2="商业",40,50))</f>
        <v>50</v>
      </c>
      <c r="K20" s="1377"/>
      <c r="L20" s="2799" t="s">
        <v>2893</v>
      </c>
      <c r="M20" s="1734">
        <f>ROUND(SUMPRODUCT((地价!A4:A29=YEAR(G19)&amp;"-"&amp;ROUNDUP(MONTH(G19)/3,0))*(地价!B2:F2=E2)*(地价!B4:F29)),0)</f>
        <v>0</v>
      </c>
      <c r="N20" s="2800" t="s">
        <v>2894</v>
      </c>
      <c r="O20" s="2801" t="s">
        <v>2895</v>
      </c>
      <c r="P20" s="2802" t="s">
        <v>2896</v>
      </c>
      <c r="R20" s="1376"/>
      <c r="S20" s="1376"/>
      <c r="T20" s="1371"/>
      <c r="U20" s="1371"/>
      <c r="V20" s="1371"/>
      <c r="W20" s="1370"/>
      <c r="X20" s="1370"/>
      <c r="Y20" s="1370"/>
      <c r="Z20" s="1377"/>
      <c r="AA20" s="1378"/>
      <c r="AB20" s="1378"/>
      <c r="AC20" s="1378"/>
      <c r="AD20" s="1378"/>
      <c r="AE20" s="1378"/>
      <c r="AF20" s="1378"/>
    </row>
    <row r="21" spans="1:37" s="2738" customFormat="1" ht="14">
      <c r="A21" s="2803" t="s">
        <v>811</v>
      </c>
      <c r="B21" s="2804" t="s">
        <v>2897</v>
      </c>
      <c r="C21" s="937">
        <f>IF(B21="容积率修正",IF(G3&lt;=10,D22,J22),C23)</f>
        <v>0</v>
      </c>
      <c r="D21" s="2805"/>
      <c r="E21" s="2805"/>
      <c r="F21" s="2805"/>
      <c r="G21" s="2805"/>
      <c r="H21" s="2805"/>
      <c r="I21" s="2805"/>
      <c r="J21" s="2806"/>
      <c r="K21" s="1377"/>
      <c r="N21" s="2807" t="s">
        <v>2898</v>
      </c>
      <c r="O21" s="1561"/>
      <c r="P21" s="1562">
        <f>SUMPRODUCT((地价!A3:A29=YEAR(G19)&amp;"-"&amp;ROUNDUP(MONTH(G19)/3,0))*(地价!AD2:AH2=N21)*(地价!AD3:AH29))</f>
        <v>1.34E-2</v>
      </c>
      <c r="R21" s="1376"/>
      <c r="S21" s="1376"/>
      <c r="T21" s="1371"/>
      <c r="U21" s="1371"/>
      <c r="V21" s="1371"/>
      <c r="W21" s="1370"/>
      <c r="X21" s="1370"/>
      <c r="Y21" s="1370"/>
      <c r="Z21" s="1377"/>
      <c r="AA21" s="1378"/>
      <c r="AB21" s="1378"/>
      <c r="AC21" s="1378"/>
      <c r="AD21" s="1378"/>
      <c r="AE21" s="1378"/>
      <c r="AF21" s="1378"/>
    </row>
    <row r="22" spans="1:37" s="2738" customFormat="1" ht="14.5">
      <c r="A22" s="2664" t="s">
        <v>2899</v>
      </c>
      <c r="B22" s="2808" t="s">
        <v>2900</v>
      </c>
      <c r="C22" s="1809" t="s">
        <v>2901</v>
      </c>
      <c r="D22" s="1809">
        <f>IF(E22=G22,F22,IF(G3&lt;=10,ROUND(F22+(H22-F22)*(G3-E22)/(G22-E22),4),"——"))</f>
        <v>0</v>
      </c>
      <c r="E22" s="916">
        <f>ROUNDDOWN(G3,1)</f>
        <v>3</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7" t="s">
        <v>2902</v>
      </c>
      <c r="O22" s="1561"/>
      <c r="P22" s="1562">
        <f>SUMPRODUCT((地价!A3:A29=YEAR(G19)&amp;"-"&amp;ROUNDUP(MONTH(G19)/3,0))*(地价!AD2:AH2=N22)*(地价!AD3:AH29))</f>
        <v>1.34E-2</v>
      </c>
      <c r="R22" s="1376"/>
      <c r="S22" s="1376"/>
      <c r="T22" s="1371"/>
      <c r="U22" s="1371"/>
      <c r="V22" s="1371"/>
      <c r="W22" s="1370"/>
      <c r="X22" s="1370"/>
      <c r="Y22" s="1370"/>
      <c r="Z22" s="1377"/>
      <c r="AA22" s="1378"/>
      <c r="AB22" s="1378"/>
      <c r="AC22" s="1378"/>
      <c r="AD22" s="1378"/>
      <c r="AE22" s="1378"/>
      <c r="AF22" s="1378"/>
    </row>
    <row r="23" spans="1:37" ht="28.5" thickBot="1">
      <c r="A23" s="2664" t="s">
        <v>2903</v>
      </c>
      <c r="B23" s="2809" t="s">
        <v>2904</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2905</v>
      </c>
      <c r="O23" s="1561"/>
      <c r="P23" s="1562">
        <f>SUMPRODUCT((地价!A3:A29=YEAR(G19)&amp;"-"&amp;ROUNDUP(MONTH(G19)/3,0))*(地价!AD2:AH2=N23)*(地价!AD3:AH29))</f>
        <v>2.1000000000000001E-2</v>
      </c>
      <c r="R23" s="1376"/>
      <c r="S23" s="1376"/>
      <c r="T23" s="1371"/>
      <c r="U23" s="1371"/>
      <c r="V23" s="1371"/>
      <c r="W23" s="1370"/>
      <c r="X23" s="1370"/>
      <c r="Y23" s="1370"/>
      <c r="Z23" s="1377"/>
      <c r="AA23" s="1378"/>
      <c r="AB23" s="1378"/>
      <c r="AC23" s="1378"/>
      <c r="AD23" s="1378"/>
      <c r="AK23" s="2788"/>
    </row>
    <row r="24" spans="1:37" s="2738" customFormat="1" ht="14.5" thickBot="1">
      <c r="A24" s="2796" t="s">
        <v>812</v>
      </c>
      <c r="B24" s="2785" t="s">
        <v>2906</v>
      </c>
      <c r="C24" s="924">
        <f>SUMIF(A45:A88,E2,B45:B88)</f>
        <v>0</v>
      </c>
      <c r="D24" s="2786"/>
      <c r="E24" s="2815"/>
      <c r="F24" s="2815"/>
      <c r="G24" s="2815"/>
      <c r="H24" s="2815"/>
      <c r="I24" s="2815"/>
      <c r="J24" s="2816"/>
      <c r="K24" s="1377"/>
      <c r="N24" s="2817" t="s">
        <v>2907</v>
      </c>
      <c r="O24" s="1563"/>
      <c r="P24" s="1564">
        <f>SUMPRODUCT((地价!A3:A29=YEAR(G19)&amp;"-"&amp;ROUNDUP(MONTH(G19)/3,0))*(地价!AD2:AH2=N24)*(地价!AD3:AH29))</f>
        <v>1.35E-2</v>
      </c>
      <c r="R24" s="1376"/>
      <c r="S24" s="1376"/>
      <c r="T24" s="1371"/>
      <c r="U24" s="1371"/>
      <c r="V24" s="1371"/>
      <c r="W24" s="1370"/>
      <c r="X24" s="1370"/>
      <c r="Y24" s="1370"/>
      <c r="Z24" s="1377"/>
      <c r="AA24" s="1378"/>
      <c r="AB24" s="1378"/>
      <c r="AC24" s="1378"/>
      <c r="AD24" s="1378"/>
      <c r="AE24" s="1378"/>
      <c r="AF24" s="1378"/>
    </row>
    <row r="25" spans="1:37" ht="14.5" thickBot="1">
      <c r="A25" s="2796" t="s">
        <v>813</v>
      </c>
      <c r="B25" s="2818" t="s">
        <v>2908</v>
      </c>
      <c r="C25" s="930"/>
      <c r="D25" s="2748"/>
      <c r="E25" s="2748"/>
      <c r="F25" s="2819"/>
      <c r="G25" s="2748"/>
      <c r="H25" s="2748"/>
      <c r="I25" s="2748"/>
      <c r="J25" s="2749"/>
      <c r="K25" s="1370"/>
      <c r="N25" s="2820" t="s">
        <v>2909</v>
      </c>
      <c r="O25" s="1565"/>
      <c r="P25" s="1564">
        <f>SUMPRODUCT((地价!A3:A29=YEAR(G19)&amp;"-"&amp;ROUNDUP(MONTH(G19)/3,0))*(地价!AD2:AH2=N25)*(地价!AD3:AH29))</f>
        <v>1.9199999999999998E-2</v>
      </c>
      <c r="R25" s="1376"/>
      <c r="S25" s="1376"/>
      <c r="T25" s="1371"/>
      <c r="U25" s="1371"/>
      <c r="V25" s="1371"/>
      <c r="W25" s="1370"/>
      <c r="X25" s="1370"/>
      <c r="Y25" s="1370"/>
      <c r="Z25" s="1377"/>
      <c r="AA25" s="1378"/>
      <c r="AB25" s="1378"/>
      <c r="AC25" s="1378"/>
      <c r="AD25" s="1378"/>
    </row>
    <row r="26" spans="1:37" ht="14">
      <c r="A26" s="2821"/>
      <c r="B26" s="2808" t="s">
        <v>2910</v>
      </c>
      <c r="C26" s="206" t="e">
        <f>E29+SUM(E33:E39)</f>
        <v>#DIV/0!</v>
      </c>
      <c r="D26" s="2822"/>
      <c r="E26" s="2773"/>
      <c r="F26" s="2823"/>
      <c r="G26" s="2773"/>
      <c r="H26" s="2773"/>
      <c r="I26" s="2773"/>
      <c r="J26" s="2824"/>
      <c r="K26" s="1370"/>
      <c r="L26" s="2777" t="s">
        <v>2808</v>
      </c>
      <c r="M26" s="920" t="s">
        <v>2873</v>
      </c>
      <c r="N26" s="920" t="s">
        <v>2874</v>
      </c>
      <c r="O26" s="920" t="s">
        <v>2875</v>
      </c>
      <c r="P26" s="2778" t="s">
        <v>2876</v>
      </c>
      <c r="R26" s="1376"/>
      <c r="S26" s="1376"/>
      <c r="T26" s="1371"/>
      <c r="U26" s="1371"/>
      <c r="V26" s="1371"/>
      <c r="W26" s="1370"/>
      <c r="X26" s="1370"/>
      <c r="Y26" s="1370"/>
      <c r="Z26" s="1377"/>
      <c r="AA26" s="1378"/>
      <c r="AB26" s="1378"/>
      <c r="AC26" s="1378"/>
      <c r="AD26" s="1378"/>
    </row>
    <row r="27" spans="1:37" ht="14.5" thickBot="1">
      <c r="A27" s="2821"/>
      <c r="B27" s="2825" t="s">
        <v>2911</v>
      </c>
      <c r="C27" s="931" t="e">
        <f>E30+SUM(I33:I39)</f>
        <v>#DIV/0!</v>
      </c>
      <c r="D27" s="2826"/>
      <c r="E27" s="2827"/>
      <c r="F27" s="2828"/>
      <c r="G27" s="2827"/>
      <c r="H27" s="2827"/>
      <c r="I27" s="2827"/>
      <c r="J27" s="2829"/>
      <c r="K27" s="1370"/>
      <c r="L27" s="2781" t="s">
        <v>2880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4.5" thickBot="1">
      <c r="A28" s="2830"/>
      <c r="B28" s="2831" t="s">
        <v>2912</v>
      </c>
      <c r="C28" s="2832" t="s">
        <v>2913</v>
      </c>
      <c r="D28" s="2832" t="s">
        <v>2914</v>
      </c>
      <c r="E28" s="2833" t="s">
        <v>2915</v>
      </c>
      <c r="F28" s="2834"/>
      <c r="G28" s="2761"/>
      <c r="H28" s="2761"/>
      <c r="I28" s="2761"/>
      <c r="J28" s="2762"/>
      <c r="K28" s="1370"/>
      <c r="L28" s="2782" t="s">
        <v>2883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2916</v>
      </c>
      <c r="C29" s="206" t="e">
        <f>ROUND(C5*C18*C19*C20*C21*C24,0)</f>
        <v>#DIV/0!</v>
      </c>
      <c r="D29" s="2837"/>
      <c r="E29" s="942" t="e">
        <f>ROUND(C29*D29/10000,0)</f>
        <v>#DIV/0!</v>
      </c>
      <c r="F29" s="2838" t="s">
        <v>2917</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6.5" thickBot="1">
      <c r="A30" s="2841"/>
      <c r="B30" s="2842" t="s">
        <v>2918</v>
      </c>
      <c r="C30" s="229" t="e">
        <f>ROUND(IF(E2="工业",C29*M39,C29*M38),0)</f>
        <v>#DIV/0!</v>
      </c>
      <c r="D30" s="2843"/>
      <c r="E30" s="942" t="e">
        <f>ROUND(C30*D30/10000,0)</f>
        <v>#DIV/0!</v>
      </c>
      <c r="F30" s="2844" t="s">
        <v>2919</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
      <c r="A31" s="2847"/>
      <c r="B31" s="2848" t="s">
        <v>2920</v>
      </c>
      <c r="C31" s="2849" t="s">
        <v>2921</v>
      </c>
      <c r="D31" s="2761"/>
      <c r="E31" s="2849"/>
      <c r="F31" s="2849"/>
      <c r="G31" s="2759" t="s">
        <v>2922</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6">
      <c r="A32" s="2835"/>
      <c r="B32" s="2851"/>
      <c r="C32" s="501" t="s">
        <v>2913</v>
      </c>
      <c r="D32" s="498" t="s">
        <v>2914</v>
      </c>
      <c r="E32" s="498" t="s">
        <v>2915</v>
      </c>
      <c r="F32" s="388" t="s">
        <v>2923</v>
      </c>
      <c r="G32" s="2852" t="s">
        <v>2913</v>
      </c>
      <c r="H32" s="2852" t="s">
        <v>2914</v>
      </c>
      <c r="I32" s="2852"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85" t="s">
        <v>2924</v>
      </c>
      <c r="B33" s="2853" t="s">
        <v>2925</v>
      </c>
      <c r="C33" s="206" t="e">
        <f>ROUND(D5*C19*C20*C24*F33,0)</f>
        <v>#DIV/0!</v>
      </c>
      <c r="D33" s="2837"/>
      <c r="E33" s="200" t="e">
        <f>ROUND(C33*D33/10000,0)</f>
        <v>#DIV/0!</v>
      </c>
      <c r="F33" s="200">
        <f>SUMIF(修正!A45:A56,G2,修正!B45:B56)</f>
        <v>0</v>
      </c>
      <c r="G33" s="200" t="e">
        <f>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
      <c r="A34" s="3286"/>
      <c r="B34" s="2765" t="s">
        <v>2926</v>
      </c>
      <c r="C34" s="206" t="e">
        <f>ROUND(D5*C19*C20*C24*F34,0)</f>
        <v>#DIV/0!</v>
      </c>
      <c r="D34" s="2837"/>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ht="13">
      <c r="A35" s="3286"/>
      <c r="B35" s="2765" t="s">
        <v>2927</v>
      </c>
      <c r="C35" s="206" t="e">
        <f>ROUND(D5*C19*C20*C24*F35,0)</f>
        <v>#DIV/0!</v>
      </c>
      <c r="D35" s="2837"/>
      <c r="E35" s="200" t="e">
        <f t="shared" si="6"/>
        <v>#DIV/0!</v>
      </c>
      <c r="F35" s="200">
        <f>SUMIF(修正!A45:A56,G2,修正!D45:D56)</f>
        <v>0</v>
      </c>
      <c r="G35" s="200" t="e">
        <f>ROUND(IF(E2="工业",C35*$M$39,C35*$M$38),0)</f>
        <v>#DIV/0!</v>
      </c>
      <c r="H35" s="200">
        <f t="shared" si="7"/>
        <v>0</v>
      </c>
      <c r="I35" s="200" t="e">
        <f t="shared" si="8"/>
        <v>#DIV/0!</v>
      </c>
      <c r="J35" s="2854"/>
      <c r="K35" s="1370"/>
      <c r="L35" s="1370"/>
      <c r="M35" s="1370"/>
      <c r="N35" s="1370"/>
      <c r="O35" s="1370"/>
      <c r="P35" s="1370"/>
      <c r="Q35" s="1370"/>
      <c r="R35" s="1370"/>
      <c r="S35" s="1370"/>
      <c r="T35" s="1370"/>
      <c r="U35" s="1370"/>
      <c r="V35" s="1370"/>
      <c r="W35" s="1370"/>
      <c r="X35" s="1370"/>
      <c r="Y35" s="1370"/>
      <c r="Z35" s="1371"/>
    </row>
    <row r="36" spans="1:37" ht="13.5" thickBot="1">
      <c r="A36" s="3287"/>
      <c r="B36" s="2765" t="s">
        <v>2928</v>
      </c>
      <c r="C36" s="206" t="e">
        <f>ROUND(D5*C19*C20*C24*F36,0)</f>
        <v>#DIV/0!</v>
      </c>
      <c r="D36" s="2837"/>
      <c r="E36" s="200" t="e">
        <f t="shared" si="6"/>
        <v>#DIV/0!</v>
      </c>
      <c r="F36" s="200">
        <f>SUMIF(修正!A45:A56,G2,修正!E45:E56)</f>
        <v>0</v>
      </c>
      <c r="G36" s="200" t="e">
        <f>ROUND(IF(E2="工业",C36*$M$39,C36*$M$38),0)</f>
        <v>#DIV/0!</v>
      </c>
      <c r="H36" s="200">
        <f t="shared" si="7"/>
        <v>0</v>
      </c>
      <c r="I36" s="200" t="e">
        <f t="shared" si="8"/>
        <v>#DIV/0!</v>
      </c>
      <c r="J36" s="2854"/>
      <c r="K36" s="1370"/>
      <c r="L36" s="2719"/>
      <c r="M36" s="2719"/>
      <c r="N36" s="1370"/>
      <c r="O36" s="1370"/>
      <c r="P36" s="1370"/>
      <c r="Q36" s="1370"/>
      <c r="R36" s="1370"/>
      <c r="S36" s="1370"/>
      <c r="T36" s="1370"/>
      <c r="U36" s="1370"/>
      <c r="V36" s="1370"/>
      <c r="W36" s="1370"/>
      <c r="X36" s="1370"/>
      <c r="Y36" s="1370"/>
      <c r="Z36" s="1371"/>
    </row>
    <row r="37" spans="1:37" ht="13">
      <c r="A37" s="2855"/>
      <c r="B37" s="2765" t="s">
        <v>2929</v>
      </c>
      <c r="C37" s="200" t="e">
        <f>ROUND(D5*C19*C20*C24*F37,0)</f>
        <v>#DIV/0!</v>
      </c>
      <c r="D37" s="2837"/>
      <c r="E37" s="200" t="e">
        <f t="shared" si="6"/>
        <v>#DIV/0!</v>
      </c>
      <c r="F37" s="206">
        <f>SUMIF(修正!A45:A56,G2,修正!F45:F56)</f>
        <v>0</v>
      </c>
      <c r="G37" s="200" t="e">
        <f>ROUND(IF(E2="工业",C37*$M$39,C37*$M$38),0)</f>
        <v>#DIV/0!</v>
      </c>
      <c r="H37" s="200">
        <f t="shared" si="7"/>
        <v>0</v>
      </c>
      <c r="I37" s="200" t="e">
        <f t="shared" si="8"/>
        <v>#DIV/0!</v>
      </c>
      <c r="J37" s="2854"/>
      <c r="K37" s="1370"/>
      <c r="L37" s="2856" t="s">
        <v>2930</v>
      </c>
      <c r="M37" s="2857"/>
      <c r="N37" s="1370"/>
      <c r="O37" s="1370"/>
      <c r="P37" s="1370"/>
      <c r="Q37" s="1370"/>
      <c r="R37" s="1370"/>
      <c r="S37" s="1370"/>
      <c r="T37" s="1370"/>
      <c r="U37" s="1370"/>
      <c r="V37" s="1370"/>
      <c r="W37" s="1370"/>
      <c r="X37" s="1370"/>
      <c r="Y37" s="1370"/>
      <c r="Z37" s="1371"/>
    </row>
    <row r="38" spans="1:37" ht="13">
      <c r="A38" s="2855"/>
      <c r="B38" s="2765" t="s">
        <v>2931</v>
      </c>
      <c r="C38" s="200" t="e">
        <f>ROUND(D5*C19*C41*C24*F38,0)</f>
        <v>#DIV/0!</v>
      </c>
      <c r="D38" s="2837"/>
      <c r="E38" s="200" t="e">
        <f t="shared" si="6"/>
        <v>#DIV/0!</v>
      </c>
      <c r="F38" s="206">
        <f>SUMIF(修正!A45:A56,G2,修正!G45:G56)</f>
        <v>0</v>
      </c>
      <c r="G38" s="200" t="e">
        <f>ROUND(IF(E2="工业",C38*$M$39,C38*$M$38),0)</f>
        <v>#DIV/0!</v>
      </c>
      <c r="H38" s="200">
        <f t="shared" si="7"/>
        <v>0</v>
      </c>
      <c r="I38" s="200" t="e">
        <f t="shared" si="8"/>
        <v>#DIV/0!</v>
      </c>
      <c r="J38" s="2854"/>
      <c r="K38" s="1370"/>
      <c r="L38" s="1886" t="s">
        <v>2932</v>
      </c>
      <c r="M38" s="2858">
        <v>0.25</v>
      </c>
      <c r="N38" s="1370"/>
      <c r="O38" s="1370"/>
      <c r="P38" s="1370"/>
      <c r="Q38" s="1370"/>
      <c r="R38" s="1370"/>
      <c r="S38" s="1370"/>
      <c r="T38" s="1370"/>
      <c r="U38" s="1370"/>
      <c r="V38" s="1370"/>
      <c r="W38" s="1370"/>
      <c r="X38" s="1370"/>
      <c r="Y38" s="1370"/>
      <c r="Z38" s="1371"/>
    </row>
    <row r="39" spans="1:37" ht="13.5" thickBot="1">
      <c r="A39" s="2841"/>
      <c r="B39" s="2859" t="s">
        <v>2933</v>
      </c>
      <c r="C39" s="229" t="e">
        <f>ROUND(D5*C19*C41*C24*F39,0)</f>
        <v>#DIV/0!</v>
      </c>
      <c r="D39" s="2843"/>
      <c r="E39" s="229" t="e">
        <f t="shared" si="6"/>
        <v>#DIV/0!</v>
      </c>
      <c r="F39" s="932">
        <f>SUMIF(修正!A45:A56,G2,修正!H45:H56)</f>
        <v>0</v>
      </c>
      <c r="G39" s="229" t="e">
        <f>ROUND(IF(E2="工业",C39*$M$39,C39*$M$38),0)</f>
        <v>#DIV/0!</v>
      </c>
      <c r="H39" s="229">
        <f t="shared" si="7"/>
        <v>0</v>
      </c>
      <c r="I39" s="229" t="e">
        <f t="shared" si="8"/>
        <v>#DIV/0!</v>
      </c>
      <c r="J39" s="2860"/>
      <c r="K39" s="1370"/>
      <c r="L39" s="2861" t="s">
        <v>2876</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6">
      <c r="A41" s="1371"/>
      <c r="B41" s="2930" t="s">
        <v>3041</v>
      </c>
      <c r="C41" s="388" t="e">
        <f>ROUND(POWER(1+E41,H41-G41)*(POWER(1+E41,G41)-1)/(POWER(1+E41,H41)-1),4)</f>
        <v>#DIV/0!</v>
      </c>
      <c r="D41" s="200" t="s">
        <v>2883</v>
      </c>
      <c r="E41" s="2929">
        <f>G20</f>
        <v>0</v>
      </c>
      <c r="F41" s="200" t="s">
        <v>2892</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4.5" thickBot="1">
      <c r="A45" s="2864" t="s">
        <v>2934</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4">
      <c r="A46" s="2866" t="s">
        <v>2935</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6">
      <c r="A47" s="2870" t="s">
        <v>2936</v>
      </c>
      <c r="B47" s="1808" t="s">
        <v>2937</v>
      </c>
      <c r="C47" s="1808" t="s">
        <v>2938</v>
      </c>
      <c r="D47" s="1808" t="s">
        <v>2939</v>
      </c>
      <c r="E47" s="819" t="s">
        <v>2940</v>
      </c>
      <c r="F47" s="2871" t="s">
        <v>2941</v>
      </c>
      <c r="G47" s="1808" t="s">
        <v>754</v>
      </c>
      <c r="H47" s="2872" t="s">
        <v>2942</v>
      </c>
      <c r="I47" s="1808" t="s">
        <v>2943</v>
      </c>
      <c r="J47" s="603" t="s">
        <v>2591</v>
      </c>
      <c r="K47" s="603" t="s">
        <v>2592</v>
      </c>
      <c r="L47" s="603" t="s">
        <v>2593</v>
      </c>
      <c r="M47" s="603" t="s">
        <v>2594</v>
      </c>
      <c r="N47" s="603" t="s">
        <v>2595</v>
      </c>
      <c r="AA47" s="1371"/>
      <c r="AB47" s="1371"/>
      <c r="AC47" s="1371"/>
      <c r="AD47" s="1371"/>
      <c r="AE47" s="1371"/>
      <c r="AF47" s="1371"/>
      <c r="AG47" s="1371"/>
      <c r="AH47" s="1371"/>
      <c r="AI47" s="1371"/>
      <c r="AJ47" s="1371"/>
      <c r="AK47" s="1371"/>
    </row>
    <row r="48" spans="1:37" s="1370" customFormat="1" ht="50">
      <c r="A48" s="2870" t="s">
        <v>2944</v>
      </c>
      <c r="B48" s="2873" t="str">
        <f>估价对象房地状况!C4</f>
        <v>估价对象位于XX商圈，周边商业氛围成熟，人流量大，商业繁华度好</v>
      </c>
      <c r="C48" s="2770"/>
      <c r="D48" s="1286">
        <f t="shared" ref="D48:D56" si="9">SUMIF($J$47:$N$47,C48,J48:N48)</f>
        <v>0</v>
      </c>
      <c r="E48" s="821">
        <f>ROUND(SUM(D48:D56),4)</f>
        <v>0</v>
      </c>
      <c r="F48" s="2501" t="str">
        <f>IF(E2="商业",SUMIF(L1:L12,G2,N1:N12),"——")</f>
        <v>——</v>
      </c>
      <c r="G48" s="1284"/>
      <c r="H48" s="1288" t="str">
        <f t="shared" ref="H48:H56" si="10">IFERROR(ROUNDDOWN($F$48*I48/2,4),"——")</f>
        <v>——</v>
      </c>
      <c r="I48" s="820">
        <v>0.33</v>
      </c>
      <c r="J48" s="1285">
        <f t="shared" ref="J48:J56" si="11">K48+$G48</f>
        <v>0</v>
      </c>
      <c r="K48" s="1285">
        <f t="shared" ref="K48:K56" si="12">$L48+$G48</f>
        <v>0</v>
      </c>
      <c r="L48" s="1285">
        <v>0</v>
      </c>
      <c r="M48" s="1285">
        <f t="shared" ref="M48:N56" si="13">L48-$G48</f>
        <v>0</v>
      </c>
      <c r="N48" s="1285">
        <f t="shared" si="13"/>
        <v>0</v>
      </c>
      <c r="AA48" s="1371"/>
      <c r="AB48" s="1371"/>
      <c r="AC48" s="1371"/>
      <c r="AD48" s="1371"/>
      <c r="AE48" s="1371"/>
      <c r="AF48" s="1371"/>
      <c r="AG48" s="1371"/>
      <c r="AH48" s="1371"/>
      <c r="AI48" s="1371"/>
      <c r="AJ48" s="1371"/>
      <c r="AK48" s="1371"/>
    </row>
    <row r="49" spans="1:37" s="1370" customFormat="1" ht="50">
      <c r="A49" s="2870" t="s">
        <v>2945</v>
      </c>
      <c r="B49" s="2874" t="str">
        <f>估价对象房地状况!C18</f>
        <v>估价对象周边道路状况、公共交通通达情况、停车便捷程度，综合评价交通便捷度较好</v>
      </c>
      <c r="C49" s="2770"/>
      <c r="D49" s="1286">
        <f t="shared" si="9"/>
        <v>0</v>
      </c>
      <c r="E49" s="822"/>
      <c r="F49" s="2501"/>
      <c r="G49" s="1284"/>
      <c r="H49" s="1288" t="str">
        <f t="shared" si="10"/>
        <v>——</v>
      </c>
      <c r="I49" s="820">
        <v>0.25</v>
      </c>
      <c r="J49" s="1285">
        <f t="shared" si="11"/>
        <v>0</v>
      </c>
      <c r="K49" s="1285">
        <f t="shared" si="12"/>
        <v>0</v>
      </c>
      <c r="L49" s="1285">
        <v>0</v>
      </c>
      <c r="M49" s="1285">
        <f t="shared" si="13"/>
        <v>0</v>
      </c>
      <c r="N49" s="1285">
        <f t="shared" si="13"/>
        <v>0</v>
      </c>
      <c r="AA49" s="1371"/>
      <c r="AB49" s="1371"/>
      <c r="AC49" s="1371"/>
      <c r="AD49" s="1371"/>
      <c r="AE49" s="1371"/>
      <c r="AF49" s="1371"/>
      <c r="AG49" s="1371"/>
      <c r="AH49" s="1371"/>
      <c r="AI49" s="1371"/>
      <c r="AJ49" s="1371"/>
      <c r="AK49" s="1371"/>
    </row>
    <row r="50" spans="1:37" s="1370" customFormat="1" ht="26">
      <c r="A50" s="2870" t="s">
        <v>2946</v>
      </c>
      <c r="B50" s="2874">
        <f>估价对象房地状况!C19</f>
        <v>0</v>
      </c>
      <c r="C50" s="2770"/>
      <c r="D50" s="1286">
        <f t="shared" si="9"/>
        <v>0</v>
      </c>
      <c r="E50" s="822"/>
      <c r="F50" s="2501"/>
      <c r="G50" s="1284"/>
      <c r="H50" s="1288" t="str">
        <f t="shared" si="10"/>
        <v>——</v>
      </c>
      <c r="I50" s="820">
        <v>0.05</v>
      </c>
      <c r="J50" s="1285">
        <f t="shared" si="11"/>
        <v>0</v>
      </c>
      <c r="K50" s="1285">
        <f t="shared" si="12"/>
        <v>0</v>
      </c>
      <c r="L50" s="1285">
        <v>0</v>
      </c>
      <c r="M50" s="1285">
        <f t="shared" si="13"/>
        <v>0</v>
      </c>
      <c r="N50" s="1285">
        <f t="shared" si="13"/>
        <v>0</v>
      </c>
      <c r="AA50" s="1371"/>
      <c r="AB50" s="1371"/>
      <c r="AC50" s="1371"/>
      <c r="AD50" s="1371"/>
      <c r="AE50" s="1371"/>
      <c r="AF50" s="1371"/>
      <c r="AG50" s="1371"/>
      <c r="AH50" s="1371"/>
      <c r="AI50" s="1371"/>
      <c r="AJ50" s="1371"/>
      <c r="AK50" s="1371"/>
    </row>
    <row r="51" spans="1:37" s="1370" customFormat="1" ht="52">
      <c r="A51" s="2870" t="s">
        <v>2947</v>
      </c>
      <c r="B51" s="2875" t="s">
        <v>2948</v>
      </c>
      <c r="C51" s="2770"/>
      <c r="D51" s="1286">
        <f t="shared" si="9"/>
        <v>0</v>
      </c>
      <c r="E51" s="822"/>
      <c r="F51" s="2501"/>
      <c r="G51" s="1284"/>
      <c r="H51" s="1288" t="str">
        <f t="shared" si="10"/>
        <v>——</v>
      </c>
      <c r="I51" s="820">
        <v>0.05</v>
      </c>
      <c r="J51" s="1285">
        <f t="shared" si="11"/>
        <v>0</v>
      </c>
      <c r="K51" s="1285">
        <f t="shared" si="12"/>
        <v>0</v>
      </c>
      <c r="L51" s="1285">
        <v>0</v>
      </c>
      <c r="M51" s="1285">
        <f t="shared" si="13"/>
        <v>0</v>
      </c>
      <c r="N51" s="1285">
        <f t="shared" si="13"/>
        <v>0</v>
      </c>
      <c r="AA51" s="1371"/>
      <c r="AB51" s="1371"/>
      <c r="AC51" s="1371"/>
      <c r="AD51" s="1371"/>
      <c r="AE51" s="1371"/>
      <c r="AF51" s="1371"/>
      <c r="AG51" s="1371"/>
      <c r="AH51" s="1371"/>
      <c r="AI51" s="1371"/>
      <c r="AJ51" s="1371"/>
      <c r="AK51" s="1371"/>
    </row>
    <row r="52" spans="1:37" s="1370" customFormat="1" ht="26">
      <c r="A52" s="2870" t="s">
        <v>2949</v>
      </c>
      <c r="B52" s="2874">
        <f>估价对象房地状况!C24</f>
        <v>0</v>
      </c>
      <c r="C52" s="2770"/>
      <c r="D52" s="1286">
        <f t="shared" si="9"/>
        <v>0</v>
      </c>
      <c r="E52" s="822"/>
      <c r="F52" s="2501"/>
      <c r="G52" s="1284"/>
      <c r="H52" s="1288" t="str">
        <f t="shared" si="10"/>
        <v>——</v>
      </c>
      <c r="I52" s="820">
        <v>0.08</v>
      </c>
      <c r="J52" s="1285">
        <f t="shared" si="11"/>
        <v>0</v>
      </c>
      <c r="K52" s="1285">
        <f t="shared" si="12"/>
        <v>0</v>
      </c>
      <c r="L52" s="1285">
        <v>0</v>
      </c>
      <c r="M52" s="1285">
        <f t="shared" si="13"/>
        <v>0</v>
      </c>
      <c r="N52" s="1285">
        <f t="shared" si="13"/>
        <v>0</v>
      </c>
      <c r="AA52" s="1371"/>
      <c r="AB52" s="1371"/>
      <c r="AC52" s="1371"/>
      <c r="AD52" s="1371"/>
      <c r="AE52" s="1371"/>
      <c r="AF52" s="1371"/>
      <c r="AG52" s="1371"/>
      <c r="AH52" s="1371"/>
      <c r="AI52" s="1371"/>
      <c r="AJ52" s="1371"/>
      <c r="AK52" s="1371"/>
    </row>
    <row r="53" spans="1:37" s="1370" customFormat="1" ht="26">
      <c r="A53" s="2870" t="s">
        <v>2950</v>
      </c>
      <c r="B53" s="2876" t="s">
        <v>2951</v>
      </c>
      <c r="C53" s="2770"/>
      <c r="D53" s="1286">
        <f t="shared" si="9"/>
        <v>0</v>
      </c>
      <c r="E53" s="822"/>
      <c r="F53" s="2501"/>
      <c r="G53" s="1284"/>
      <c r="H53" s="1288" t="str">
        <f t="shared" si="10"/>
        <v>——</v>
      </c>
      <c r="I53" s="820">
        <v>0.03</v>
      </c>
      <c r="J53" s="1285">
        <f t="shared" si="11"/>
        <v>0</v>
      </c>
      <c r="K53" s="1285">
        <f t="shared" si="12"/>
        <v>0</v>
      </c>
      <c r="L53" s="1285">
        <v>0</v>
      </c>
      <c r="M53" s="1285">
        <f t="shared" si="13"/>
        <v>0</v>
      </c>
      <c r="N53" s="1285">
        <f t="shared" si="13"/>
        <v>0</v>
      </c>
      <c r="AA53" s="1371"/>
      <c r="AB53" s="1371"/>
      <c r="AC53" s="1371"/>
      <c r="AD53" s="1371"/>
      <c r="AE53" s="1371"/>
      <c r="AF53" s="1371"/>
      <c r="AG53" s="1371"/>
      <c r="AH53" s="1371"/>
      <c r="AI53" s="1371"/>
      <c r="AJ53" s="1371"/>
      <c r="AK53" s="1371"/>
    </row>
    <row r="54" spans="1:37" s="1370" customFormat="1" ht="26">
      <c r="A54" s="2877" t="s">
        <v>2952</v>
      </c>
      <c r="B54" s="1724" t="str">
        <f>估价对象房地状况!C21</f>
        <v>估价对象所在区域公共配套设施齐备情况</v>
      </c>
      <c r="C54" s="2770"/>
      <c r="D54" s="1286">
        <f t="shared" si="9"/>
        <v>0</v>
      </c>
      <c r="E54" s="822"/>
      <c r="F54" s="2501"/>
      <c r="G54" s="1284"/>
      <c r="H54" s="1288" t="str">
        <f t="shared" si="10"/>
        <v>——</v>
      </c>
      <c r="I54" s="820">
        <v>0.05</v>
      </c>
      <c r="J54" s="1285">
        <f t="shared" si="11"/>
        <v>0</v>
      </c>
      <c r="K54" s="1285">
        <f t="shared" si="12"/>
        <v>0</v>
      </c>
      <c r="L54" s="1285">
        <v>0</v>
      </c>
      <c r="M54" s="1285">
        <f t="shared" si="13"/>
        <v>0</v>
      </c>
      <c r="N54" s="1285">
        <f t="shared" si="13"/>
        <v>0</v>
      </c>
      <c r="AA54" s="1371"/>
      <c r="AB54" s="1371"/>
      <c r="AC54" s="1371"/>
      <c r="AD54" s="1371"/>
      <c r="AE54" s="1371"/>
      <c r="AF54" s="1371"/>
      <c r="AG54" s="1371"/>
      <c r="AH54" s="1371"/>
      <c r="AI54" s="1371"/>
      <c r="AJ54" s="1371"/>
      <c r="AK54" s="1371"/>
    </row>
    <row r="55" spans="1:37" s="1370" customFormat="1" ht="26">
      <c r="A55" s="2877" t="s">
        <v>2953</v>
      </c>
      <c r="B55" s="2874" t="str">
        <f>估价对象房地状况!C22</f>
        <v>估价对象所在区域基础设施水平</v>
      </c>
      <c r="C55" s="2770"/>
      <c r="D55" s="1286">
        <f t="shared" si="9"/>
        <v>0</v>
      </c>
      <c r="E55" s="822"/>
      <c r="F55" s="2501"/>
      <c r="G55" s="1284"/>
      <c r="H55" s="1288" t="str">
        <f t="shared" si="10"/>
        <v>——</v>
      </c>
      <c r="I55" s="820">
        <v>0.1</v>
      </c>
      <c r="J55" s="1285">
        <f t="shared" si="11"/>
        <v>0</v>
      </c>
      <c r="K55" s="1285">
        <f t="shared" si="12"/>
        <v>0</v>
      </c>
      <c r="L55" s="1285">
        <v>0</v>
      </c>
      <c r="M55" s="1285">
        <f t="shared" si="13"/>
        <v>0</v>
      </c>
      <c r="N55" s="1285">
        <f t="shared" si="13"/>
        <v>0</v>
      </c>
      <c r="AA55" s="1371"/>
      <c r="AB55" s="1371"/>
      <c r="AC55" s="1371"/>
      <c r="AD55" s="1371"/>
      <c r="AE55" s="1371"/>
      <c r="AF55" s="1371"/>
      <c r="AG55" s="1371"/>
      <c r="AH55" s="1371"/>
      <c r="AI55" s="1371"/>
      <c r="AJ55" s="1371"/>
      <c r="AK55" s="1371"/>
    </row>
    <row r="56" spans="1:37" s="1370" customFormat="1" ht="38" thickBot="1">
      <c r="A56" s="2878" t="s">
        <v>2954</v>
      </c>
      <c r="B56" s="2879" t="str">
        <f>估价对象房地状况!C20</f>
        <v>区域自然环境：；人文环境；综合评价环境状况一般</v>
      </c>
      <c r="C56" s="2770"/>
      <c r="D56" s="1286">
        <f t="shared" si="9"/>
        <v>0</v>
      </c>
      <c r="E56" s="825"/>
      <c r="F56" s="2501"/>
      <c r="G56" s="1284"/>
      <c r="H56" s="1288" t="str">
        <f t="shared" si="10"/>
        <v>——</v>
      </c>
      <c r="I56" s="824">
        <v>0.06</v>
      </c>
      <c r="J56" s="1285">
        <f t="shared" si="11"/>
        <v>0</v>
      </c>
      <c r="K56" s="1285">
        <f t="shared" si="12"/>
        <v>0</v>
      </c>
      <c r="L56" s="1285">
        <v>0</v>
      </c>
      <c r="M56" s="1285">
        <f t="shared" si="13"/>
        <v>0</v>
      </c>
      <c r="N56" s="1285">
        <f t="shared" si="13"/>
        <v>0</v>
      </c>
      <c r="AA56" s="1371"/>
      <c r="AB56" s="1371"/>
      <c r="AC56" s="1371"/>
      <c r="AD56" s="1371"/>
      <c r="AE56" s="1371"/>
      <c r="AF56" s="1371"/>
      <c r="AG56" s="1371"/>
      <c r="AH56" s="1371"/>
      <c r="AI56" s="1371"/>
      <c r="AJ56" s="1371"/>
      <c r="AK56" s="1371"/>
    </row>
    <row r="57" spans="1:37" s="1370" customFormat="1" ht="14">
      <c r="A57" s="2866" t="s">
        <v>2955</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6">
      <c r="A58" s="2870" t="s">
        <v>2936</v>
      </c>
      <c r="B58" s="1808"/>
      <c r="C58" s="1808" t="s">
        <v>2938</v>
      </c>
      <c r="D58" s="1808" t="s">
        <v>2939</v>
      </c>
      <c r="E58" s="819" t="s">
        <v>2940</v>
      </c>
      <c r="F58" s="2871" t="s">
        <v>2956</v>
      </c>
      <c r="G58" s="1808" t="s">
        <v>754</v>
      </c>
      <c r="H58" s="2872" t="s">
        <v>2942</v>
      </c>
      <c r="I58" s="1808" t="s">
        <v>2943</v>
      </c>
      <c r="J58" s="603" t="s">
        <v>2591</v>
      </c>
      <c r="K58" s="603" t="s">
        <v>2592</v>
      </c>
      <c r="L58" s="603" t="s">
        <v>2593</v>
      </c>
      <c r="M58" s="603" t="s">
        <v>2594</v>
      </c>
      <c r="N58" s="603" t="s">
        <v>2595</v>
      </c>
      <c r="AA58" s="1371"/>
      <c r="AB58" s="1371"/>
      <c r="AC58" s="1371"/>
      <c r="AD58" s="1371"/>
      <c r="AE58" s="1371"/>
      <c r="AF58" s="1371"/>
      <c r="AG58" s="1371"/>
      <c r="AH58" s="1371"/>
      <c r="AI58" s="1371"/>
      <c r="AJ58" s="1371"/>
      <c r="AK58" s="1371"/>
    </row>
    <row r="59" spans="1:37" s="1370" customFormat="1" ht="50">
      <c r="A59" s="2870" t="s">
        <v>2957</v>
      </c>
      <c r="B59" s="2873" t="str">
        <f>估价对象房地状况!C17</f>
        <v>估价对象位于XX商圈，周边办公楼项目较多，入驻率高，办公集聚程度较好</v>
      </c>
      <c r="C59" s="2770"/>
      <c r="D59" s="1286">
        <f t="shared" ref="D59:D67" si="14">SUMIF($J$58:$N$58,C59,J59:N59)</f>
        <v>0</v>
      </c>
      <c r="E59" s="821">
        <f>ROUND(SUM(D59:D67),4)</f>
        <v>0</v>
      </c>
      <c r="F59" s="2501" t="str">
        <f>IF(E2="办公",SUMIF(L1:L12,G2,N1:N12),"——")</f>
        <v>——</v>
      </c>
      <c r="G59" s="1284"/>
      <c r="H59" s="1288" t="str">
        <f t="shared" ref="H59:H67" si="15">IFERROR(ROUNDDOWN($F$59*I59/2,4),"——")</f>
        <v>——</v>
      </c>
      <c r="I59" s="820">
        <v>0.24</v>
      </c>
      <c r="J59" s="1285">
        <f t="shared" ref="J59:J67" si="16">K59+$G59</f>
        <v>0</v>
      </c>
      <c r="K59" s="1285">
        <f t="shared" ref="K59:K67" si="17">$L59+$G59</f>
        <v>0</v>
      </c>
      <c r="L59" s="1285">
        <v>0</v>
      </c>
      <c r="M59" s="1285">
        <f t="shared" ref="M59:N67" si="18">L59-$G59</f>
        <v>0</v>
      </c>
      <c r="N59" s="1285">
        <f t="shared" si="18"/>
        <v>0</v>
      </c>
      <c r="AA59" s="1371"/>
      <c r="AB59" s="1371"/>
      <c r="AC59" s="1371"/>
      <c r="AD59" s="1371"/>
      <c r="AE59" s="1371"/>
      <c r="AF59" s="1371"/>
      <c r="AG59" s="1371"/>
      <c r="AH59" s="1371"/>
      <c r="AI59" s="1371"/>
      <c r="AJ59" s="1371"/>
      <c r="AK59" s="1371"/>
    </row>
    <row r="60" spans="1:37" s="1370" customFormat="1" ht="50">
      <c r="A60" s="2870" t="s">
        <v>2945</v>
      </c>
      <c r="B60" s="2874" t="str">
        <f>估价对象房地状况!C18</f>
        <v>估价对象周边道路状况、公共交通通达情况、停车便捷程度，综合评价交通便捷度较好</v>
      </c>
      <c r="C60" s="2770"/>
      <c r="D60" s="1286">
        <f t="shared" si="14"/>
        <v>0</v>
      </c>
      <c r="E60" s="822"/>
      <c r="F60" s="2501"/>
      <c r="G60" s="1284"/>
      <c r="H60" s="1288" t="str">
        <f t="shared" si="15"/>
        <v>——</v>
      </c>
      <c r="I60" s="820">
        <v>0.3</v>
      </c>
      <c r="J60" s="1285">
        <f t="shared" si="16"/>
        <v>0</v>
      </c>
      <c r="K60" s="1285">
        <f t="shared" si="17"/>
        <v>0</v>
      </c>
      <c r="L60" s="1285">
        <v>0</v>
      </c>
      <c r="M60" s="1285">
        <f t="shared" si="18"/>
        <v>0</v>
      </c>
      <c r="N60" s="1285">
        <f t="shared" si="18"/>
        <v>0</v>
      </c>
      <c r="AA60" s="1371"/>
      <c r="AB60" s="1371"/>
      <c r="AC60" s="1371"/>
      <c r="AD60" s="1371"/>
      <c r="AE60" s="1371"/>
      <c r="AF60" s="1371"/>
      <c r="AG60" s="1371"/>
      <c r="AH60" s="1371"/>
      <c r="AI60" s="1371"/>
      <c r="AJ60" s="1371"/>
      <c r="AK60" s="1371"/>
    </row>
    <row r="61" spans="1:37" s="1370" customFormat="1" ht="26">
      <c r="A61" s="2870" t="s">
        <v>2946</v>
      </c>
      <c r="B61" s="2874">
        <f>估价对象房地状况!C19</f>
        <v>0</v>
      </c>
      <c r="C61" s="2770"/>
      <c r="D61" s="1286">
        <f t="shared" si="14"/>
        <v>0</v>
      </c>
      <c r="E61" s="822"/>
      <c r="F61" s="2501"/>
      <c r="G61" s="1284"/>
      <c r="H61" s="1288" t="str">
        <f t="shared" si="15"/>
        <v>——</v>
      </c>
      <c r="I61" s="820">
        <v>0.08</v>
      </c>
      <c r="J61" s="1285">
        <f t="shared" si="16"/>
        <v>0</v>
      </c>
      <c r="K61" s="1285">
        <f t="shared" si="17"/>
        <v>0</v>
      </c>
      <c r="L61" s="1285">
        <v>0</v>
      </c>
      <c r="M61" s="1285">
        <f t="shared" si="18"/>
        <v>0</v>
      </c>
      <c r="N61" s="1285">
        <f t="shared" si="18"/>
        <v>0</v>
      </c>
      <c r="AA61" s="1371"/>
      <c r="AB61" s="1371"/>
      <c r="AC61" s="1371"/>
      <c r="AD61" s="1371"/>
      <c r="AE61" s="1371"/>
      <c r="AF61" s="1371"/>
      <c r="AG61" s="1371"/>
      <c r="AH61" s="1371"/>
      <c r="AI61" s="1371"/>
      <c r="AJ61" s="1371"/>
      <c r="AK61" s="1371"/>
    </row>
    <row r="62" spans="1:37" s="1370" customFormat="1" ht="52">
      <c r="A62" s="2870" t="s">
        <v>2947</v>
      </c>
      <c r="B62" s="2875" t="s">
        <v>2948</v>
      </c>
      <c r="C62" s="2770"/>
      <c r="D62" s="1286">
        <f t="shared" si="14"/>
        <v>0</v>
      </c>
      <c r="E62" s="822"/>
      <c r="F62" s="2501"/>
      <c r="G62" s="1284"/>
      <c r="H62" s="1288" t="str">
        <f t="shared" si="15"/>
        <v>——</v>
      </c>
      <c r="I62" s="820">
        <v>0.04</v>
      </c>
      <c r="J62" s="1285">
        <f t="shared" si="16"/>
        <v>0</v>
      </c>
      <c r="K62" s="1285">
        <f t="shared" si="17"/>
        <v>0</v>
      </c>
      <c r="L62" s="1285">
        <v>0</v>
      </c>
      <c r="M62" s="1285">
        <f t="shared" si="18"/>
        <v>0</v>
      </c>
      <c r="N62" s="1285">
        <f t="shared" si="18"/>
        <v>0</v>
      </c>
      <c r="AA62" s="1371"/>
      <c r="AB62" s="1371"/>
      <c r="AC62" s="1371"/>
      <c r="AD62" s="1371"/>
      <c r="AE62" s="1371"/>
      <c r="AF62" s="1371"/>
      <c r="AG62" s="1371"/>
      <c r="AH62" s="1371"/>
      <c r="AI62" s="1371"/>
      <c r="AJ62" s="1371"/>
      <c r="AK62" s="1371"/>
    </row>
    <row r="63" spans="1:37" s="1370" customFormat="1" ht="26">
      <c r="A63" s="2870" t="s">
        <v>2949</v>
      </c>
      <c r="B63" s="2874">
        <f>估价对象房地状况!C24</f>
        <v>0</v>
      </c>
      <c r="C63" s="2770"/>
      <c r="D63" s="1286">
        <f t="shared" si="14"/>
        <v>0</v>
      </c>
      <c r="E63" s="822"/>
      <c r="F63" s="2501"/>
      <c r="G63" s="1284"/>
      <c r="H63" s="1288" t="str">
        <f t="shared" si="15"/>
        <v>——</v>
      </c>
      <c r="I63" s="820">
        <v>0.05</v>
      </c>
      <c r="J63" s="1285">
        <f t="shared" si="16"/>
        <v>0</v>
      </c>
      <c r="K63" s="1285">
        <f t="shared" si="17"/>
        <v>0</v>
      </c>
      <c r="L63" s="1285">
        <v>0</v>
      </c>
      <c r="M63" s="1285">
        <f t="shared" si="18"/>
        <v>0</v>
      </c>
      <c r="N63" s="1285">
        <f t="shared" si="18"/>
        <v>0</v>
      </c>
      <c r="AA63" s="1371"/>
      <c r="AB63" s="1371"/>
      <c r="AC63" s="1371"/>
      <c r="AD63" s="1371"/>
      <c r="AE63" s="1371"/>
      <c r="AF63" s="1371"/>
      <c r="AG63" s="1371"/>
      <c r="AH63" s="1371"/>
      <c r="AI63" s="1371"/>
      <c r="AJ63" s="1371"/>
      <c r="AK63" s="1371"/>
    </row>
    <row r="64" spans="1:37" s="1370" customFormat="1" ht="26">
      <c r="A64" s="2870" t="s">
        <v>2950</v>
      </c>
      <c r="B64" s="2876" t="s">
        <v>2951</v>
      </c>
      <c r="C64" s="2770"/>
      <c r="D64" s="1286">
        <f t="shared" si="14"/>
        <v>0</v>
      </c>
      <c r="E64" s="822"/>
      <c r="F64" s="2501"/>
      <c r="G64" s="1284"/>
      <c r="H64" s="1288" t="str">
        <f t="shared" si="15"/>
        <v>——</v>
      </c>
      <c r="I64" s="820">
        <v>0.05</v>
      </c>
      <c r="J64" s="1285">
        <f t="shared" si="16"/>
        <v>0</v>
      </c>
      <c r="K64" s="1285">
        <f t="shared" si="17"/>
        <v>0</v>
      </c>
      <c r="L64" s="1285">
        <v>0</v>
      </c>
      <c r="M64" s="1285">
        <f t="shared" si="18"/>
        <v>0</v>
      </c>
      <c r="N64" s="1285">
        <f t="shared" si="18"/>
        <v>0</v>
      </c>
      <c r="AA64" s="1371"/>
      <c r="AB64" s="1371"/>
      <c r="AC64" s="1371"/>
      <c r="AD64" s="1371"/>
      <c r="AE64" s="1371"/>
      <c r="AF64" s="1371"/>
      <c r="AG64" s="1371"/>
      <c r="AH64" s="1371"/>
      <c r="AI64" s="1371"/>
      <c r="AJ64" s="1371"/>
      <c r="AK64" s="1371"/>
    </row>
    <row r="65" spans="1:37" s="1370" customFormat="1" ht="26">
      <c r="A65" s="2870" t="s">
        <v>2952</v>
      </c>
      <c r="B65" s="1724" t="str">
        <f>估价对象房地状况!C21</f>
        <v>估价对象所在区域公共配套设施齐备情况</v>
      </c>
      <c r="C65" s="2770"/>
      <c r="D65" s="1286">
        <f t="shared" si="14"/>
        <v>0</v>
      </c>
      <c r="E65" s="822"/>
      <c r="F65" s="2501"/>
      <c r="G65" s="1284"/>
      <c r="H65" s="1288" t="str">
        <f t="shared" si="15"/>
        <v>——</v>
      </c>
      <c r="I65" s="820">
        <v>0.06</v>
      </c>
      <c r="J65" s="1285">
        <f t="shared" si="16"/>
        <v>0</v>
      </c>
      <c r="K65" s="1285">
        <f t="shared" si="17"/>
        <v>0</v>
      </c>
      <c r="L65" s="1285">
        <v>0</v>
      </c>
      <c r="M65" s="1285">
        <f t="shared" si="18"/>
        <v>0</v>
      </c>
      <c r="N65" s="1285">
        <f t="shared" si="18"/>
        <v>0</v>
      </c>
      <c r="AA65" s="1371"/>
      <c r="AB65" s="1371"/>
      <c r="AC65" s="1371"/>
      <c r="AD65" s="1371"/>
      <c r="AE65" s="1371"/>
      <c r="AF65" s="1371"/>
      <c r="AG65" s="1371"/>
      <c r="AH65" s="1371"/>
      <c r="AI65" s="1371"/>
      <c r="AJ65" s="1371"/>
      <c r="AK65" s="1371"/>
    </row>
    <row r="66" spans="1:37" s="1370" customFormat="1" ht="26">
      <c r="A66" s="2870" t="s">
        <v>2953</v>
      </c>
      <c r="B66" s="1724" t="str">
        <f>估价对象房地状况!C22</f>
        <v>估价对象所在区域基础设施水平</v>
      </c>
      <c r="C66" s="2770"/>
      <c r="D66" s="1286">
        <f t="shared" si="14"/>
        <v>0</v>
      </c>
      <c r="E66" s="822"/>
      <c r="F66" s="2501"/>
      <c r="G66" s="1284"/>
      <c r="H66" s="1288" t="str">
        <f t="shared" si="15"/>
        <v>——</v>
      </c>
      <c r="I66" s="820">
        <v>0.12</v>
      </c>
      <c r="J66" s="1285">
        <f t="shared" si="16"/>
        <v>0</v>
      </c>
      <c r="K66" s="1285">
        <f t="shared" si="17"/>
        <v>0</v>
      </c>
      <c r="L66" s="1285">
        <v>0</v>
      </c>
      <c r="M66" s="1285">
        <f t="shared" si="18"/>
        <v>0</v>
      </c>
      <c r="N66" s="1285">
        <f t="shared" si="18"/>
        <v>0</v>
      </c>
      <c r="AA66" s="1371"/>
      <c r="AB66" s="1371"/>
      <c r="AC66" s="1371"/>
      <c r="AD66" s="1371"/>
      <c r="AE66" s="1371"/>
      <c r="AF66" s="1371"/>
      <c r="AG66" s="1371"/>
      <c r="AH66" s="1371"/>
      <c r="AI66" s="1371"/>
      <c r="AJ66" s="1371"/>
      <c r="AK66" s="1371"/>
    </row>
    <row r="67" spans="1:37" s="1370" customFormat="1" ht="38" thickBot="1">
      <c r="A67" s="2878" t="s">
        <v>2954</v>
      </c>
      <c r="B67" s="2880" t="str">
        <f>估价对象房地状况!C20</f>
        <v>区域自然环境：；人文环境；综合评价环境状况一般</v>
      </c>
      <c r="C67" s="2770"/>
      <c r="D67" s="1286">
        <f t="shared" si="14"/>
        <v>0</v>
      </c>
      <c r="E67" s="825"/>
      <c r="F67" s="2501"/>
      <c r="G67" s="1284"/>
      <c r="H67" s="1288" t="str">
        <f t="shared" si="15"/>
        <v>——</v>
      </c>
      <c r="I67" s="824">
        <v>0.06</v>
      </c>
      <c r="J67" s="1285">
        <f t="shared" si="16"/>
        <v>0</v>
      </c>
      <c r="K67" s="1285">
        <f t="shared" si="17"/>
        <v>0</v>
      </c>
      <c r="L67" s="1285">
        <v>0</v>
      </c>
      <c r="M67" s="1285">
        <f t="shared" si="18"/>
        <v>0</v>
      </c>
      <c r="N67" s="1285">
        <f t="shared" si="18"/>
        <v>0</v>
      </c>
      <c r="AA67" s="1371"/>
      <c r="AB67" s="1371"/>
      <c r="AC67" s="1371"/>
      <c r="AD67" s="1371"/>
      <c r="AE67" s="1371"/>
      <c r="AF67" s="1371"/>
      <c r="AG67" s="1371"/>
      <c r="AH67" s="1371"/>
      <c r="AI67" s="1371"/>
      <c r="AJ67" s="1371"/>
      <c r="AK67" s="1371"/>
    </row>
    <row r="68" spans="1:37" s="1370" customFormat="1" ht="14">
      <c r="A68" s="2866" t="s">
        <v>2958</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6">
      <c r="A69" s="2870" t="s">
        <v>2936</v>
      </c>
      <c r="B69" s="1808"/>
      <c r="C69" s="1808" t="s">
        <v>2938</v>
      </c>
      <c r="D69" s="1808" t="s">
        <v>2939</v>
      </c>
      <c r="E69" s="819" t="s">
        <v>2940</v>
      </c>
      <c r="F69" s="2871" t="s">
        <v>2956</v>
      </c>
      <c r="G69" s="1808" t="s">
        <v>754</v>
      </c>
      <c r="H69" s="2872" t="s">
        <v>2942</v>
      </c>
      <c r="I69" s="1808" t="s">
        <v>2943</v>
      </c>
      <c r="J69" s="603" t="s">
        <v>2591</v>
      </c>
      <c r="K69" s="603" t="s">
        <v>2592</v>
      </c>
      <c r="L69" s="603" t="s">
        <v>2593</v>
      </c>
      <c r="M69" s="603" t="s">
        <v>2594</v>
      </c>
      <c r="N69" s="603" t="s">
        <v>2595</v>
      </c>
      <c r="AA69" s="1371"/>
      <c r="AB69" s="1371"/>
      <c r="AC69" s="1371"/>
      <c r="AD69" s="1371"/>
      <c r="AE69" s="1371"/>
      <c r="AF69" s="1371"/>
      <c r="AG69" s="1371"/>
      <c r="AH69" s="1371"/>
      <c r="AI69" s="1371"/>
      <c r="AJ69" s="1371"/>
      <c r="AK69" s="1371"/>
    </row>
    <row r="70" spans="1:37" s="1370" customFormat="1" ht="62.5">
      <c r="A70" s="2870" t="s">
        <v>2959</v>
      </c>
      <c r="B70" s="2873" t="str">
        <f>估价对象房地状况!C15</f>
        <v>估价对象周边居住用地比例、居住小区规模和社区发展完善程度，综合评价居住社区成熟度一般</v>
      </c>
      <c r="C70" s="2770"/>
      <c r="D70" s="1286">
        <f t="shared" ref="D70:D78" si="19">SUMIF($J$69:$N$69,C70,J70:N70)</f>
        <v>0</v>
      </c>
      <c r="E70" s="821">
        <f>ROUND(SUM(D70:D78),4)</f>
        <v>0</v>
      </c>
      <c r="F70" s="2501" t="str">
        <f>IF(E2="住宅",SUMIF(L1:L12,G2,N1:N12),"——")</f>
        <v>——</v>
      </c>
      <c r="G70" s="1284"/>
      <c r="H70" s="1288" t="str">
        <f t="shared" ref="H70:H78" si="20">IFERROR(ROUNDDOWN($F$70*I70/2,4),"——")</f>
        <v>——</v>
      </c>
      <c r="I70" s="820">
        <v>0.14000000000000001</v>
      </c>
      <c r="J70" s="1285">
        <f t="shared" ref="J70:J78" si="21">K70+$G70</f>
        <v>0</v>
      </c>
      <c r="K70" s="1285">
        <f t="shared" ref="K70:K78" si="22">$L70+$G70</f>
        <v>0</v>
      </c>
      <c r="L70" s="1285">
        <v>0</v>
      </c>
      <c r="M70" s="1285">
        <f t="shared" ref="M70:N78" si="23">L70-$G70</f>
        <v>0</v>
      </c>
      <c r="N70" s="1285">
        <f t="shared" si="23"/>
        <v>0</v>
      </c>
      <c r="AA70" s="1371"/>
      <c r="AB70" s="1371"/>
      <c r="AC70" s="1371"/>
      <c r="AD70" s="1371"/>
      <c r="AE70" s="1371"/>
      <c r="AF70" s="1371"/>
      <c r="AG70" s="1371"/>
      <c r="AH70" s="1371"/>
      <c r="AI70" s="1371"/>
      <c r="AJ70" s="1371"/>
      <c r="AK70" s="1371"/>
    </row>
    <row r="71" spans="1:37" s="1370" customFormat="1" ht="50">
      <c r="A71" s="2870" t="s">
        <v>2945</v>
      </c>
      <c r="B71" s="2874" t="str">
        <f>估价对象房地状况!C18</f>
        <v>估价对象周边道路状况、公共交通通达情况、停车便捷程度，综合评价交通便捷度较好</v>
      </c>
      <c r="C71" s="2770"/>
      <c r="D71" s="1286">
        <f t="shared" si="19"/>
        <v>0</v>
      </c>
      <c r="E71" s="826"/>
      <c r="F71" s="2501"/>
      <c r="G71" s="1284"/>
      <c r="H71" s="1288" t="str">
        <f t="shared" si="20"/>
        <v>——</v>
      </c>
      <c r="I71" s="820">
        <v>0.3</v>
      </c>
      <c r="J71" s="1285">
        <f t="shared" si="21"/>
        <v>0</v>
      </c>
      <c r="K71" s="1285">
        <f t="shared" si="22"/>
        <v>0</v>
      </c>
      <c r="L71" s="1285">
        <v>0</v>
      </c>
      <c r="M71" s="1285">
        <f t="shared" si="23"/>
        <v>0</v>
      </c>
      <c r="N71" s="1285">
        <f t="shared" si="23"/>
        <v>0</v>
      </c>
      <c r="AA71" s="1371"/>
      <c r="AB71" s="1371"/>
      <c r="AC71" s="1371"/>
      <c r="AD71" s="1371"/>
      <c r="AE71" s="1371"/>
      <c r="AF71" s="1371"/>
      <c r="AG71" s="1371"/>
      <c r="AH71" s="1371"/>
      <c r="AI71" s="1371"/>
      <c r="AJ71" s="1371"/>
      <c r="AK71" s="1371"/>
    </row>
    <row r="72" spans="1:37" s="1370" customFormat="1" ht="26">
      <c r="A72" s="2870" t="s">
        <v>2946</v>
      </c>
      <c r="B72" s="2874">
        <f>估价对象房地状况!C19</f>
        <v>0</v>
      </c>
      <c r="C72" s="2770"/>
      <c r="D72" s="1286">
        <f t="shared" si="19"/>
        <v>0</v>
      </c>
      <c r="E72" s="826"/>
      <c r="F72" s="2501"/>
      <c r="G72" s="1284"/>
      <c r="H72" s="1288" t="str">
        <f t="shared" si="20"/>
        <v>——</v>
      </c>
      <c r="I72" s="820">
        <v>0.08</v>
      </c>
      <c r="J72" s="1285">
        <f t="shared" si="21"/>
        <v>0</v>
      </c>
      <c r="K72" s="1285">
        <f t="shared" si="22"/>
        <v>0</v>
      </c>
      <c r="L72" s="1285">
        <v>0</v>
      </c>
      <c r="M72" s="1285">
        <f t="shared" si="23"/>
        <v>0</v>
      </c>
      <c r="N72" s="1285">
        <f t="shared" si="23"/>
        <v>0</v>
      </c>
      <c r="AA72" s="1371"/>
      <c r="AB72" s="1371"/>
      <c r="AC72" s="1371"/>
      <c r="AD72" s="1371"/>
      <c r="AE72" s="1371"/>
      <c r="AF72" s="1371"/>
      <c r="AG72" s="1371"/>
      <c r="AH72" s="1371"/>
      <c r="AI72" s="1371"/>
      <c r="AJ72" s="1371"/>
      <c r="AK72" s="1371"/>
    </row>
    <row r="73" spans="1:37" s="1370" customFormat="1" ht="14">
      <c r="A73" s="2870" t="s">
        <v>2960</v>
      </c>
      <c r="B73" s="2874">
        <f>估价对象房地状况!C24</f>
        <v>0</v>
      </c>
      <c r="C73" s="2770"/>
      <c r="D73" s="1286">
        <f t="shared" si="19"/>
        <v>0</v>
      </c>
      <c r="E73" s="826"/>
      <c r="F73" s="2501"/>
      <c r="G73" s="1284"/>
      <c r="H73" s="1288" t="str">
        <f t="shared" si="20"/>
        <v>——</v>
      </c>
      <c r="I73" s="820">
        <v>0.04</v>
      </c>
      <c r="J73" s="1285">
        <f t="shared" si="21"/>
        <v>0</v>
      </c>
      <c r="K73" s="1285">
        <f t="shared" si="22"/>
        <v>0</v>
      </c>
      <c r="L73" s="1285">
        <v>0</v>
      </c>
      <c r="M73" s="1285">
        <f t="shared" si="23"/>
        <v>0</v>
      </c>
      <c r="N73" s="1285">
        <f t="shared" si="23"/>
        <v>0</v>
      </c>
      <c r="AA73" s="1371"/>
      <c r="AB73" s="1371"/>
      <c r="AC73" s="1371"/>
      <c r="AD73" s="1371"/>
      <c r="AE73" s="1371"/>
      <c r="AF73" s="1371"/>
      <c r="AG73" s="1371"/>
      <c r="AH73" s="1371"/>
      <c r="AI73" s="1371"/>
      <c r="AJ73" s="1371"/>
      <c r="AK73" s="1371"/>
    </row>
    <row r="74" spans="1:37" s="1370" customFormat="1" ht="26">
      <c r="A74" s="2870" t="s">
        <v>2952</v>
      </c>
      <c r="B74" s="1724" t="str">
        <f>估价对象房地状况!C21</f>
        <v>估价对象所在区域公共配套设施齐备情况</v>
      </c>
      <c r="C74" s="2770"/>
      <c r="D74" s="1286">
        <f t="shared" si="19"/>
        <v>0</v>
      </c>
      <c r="E74" s="826"/>
      <c r="F74" s="2501"/>
      <c r="G74" s="1284"/>
      <c r="H74" s="1288" t="str">
        <f t="shared" si="20"/>
        <v>——</v>
      </c>
      <c r="I74" s="820">
        <v>0.08</v>
      </c>
      <c r="J74" s="1285">
        <f t="shared" si="21"/>
        <v>0</v>
      </c>
      <c r="K74" s="1285">
        <f t="shared" si="22"/>
        <v>0</v>
      </c>
      <c r="L74" s="1285">
        <v>0</v>
      </c>
      <c r="M74" s="1285">
        <f t="shared" si="23"/>
        <v>0</v>
      </c>
      <c r="N74" s="1285">
        <f t="shared" si="23"/>
        <v>0</v>
      </c>
      <c r="AA74" s="1371"/>
      <c r="AB74" s="1371"/>
      <c r="AC74" s="1371"/>
      <c r="AD74" s="1371"/>
      <c r="AE74" s="1371"/>
      <c r="AF74" s="1371"/>
      <c r="AG74" s="1371"/>
      <c r="AH74" s="1371"/>
      <c r="AI74" s="1371"/>
      <c r="AJ74" s="1371"/>
      <c r="AK74" s="1371"/>
    </row>
    <row r="75" spans="1:37" s="1370" customFormat="1" ht="26">
      <c r="A75" s="2870" t="s">
        <v>2953</v>
      </c>
      <c r="B75" s="1724" t="str">
        <f>估价对象房地状况!C22</f>
        <v>估价对象所在区域基础设施水平</v>
      </c>
      <c r="C75" s="2770"/>
      <c r="D75" s="1286">
        <f t="shared" si="19"/>
        <v>0</v>
      </c>
      <c r="E75" s="826"/>
      <c r="F75" s="2501"/>
      <c r="G75" s="1284"/>
      <c r="H75" s="1288" t="str">
        <f t="shared" si="20"/>
        <v>——</v>
      </c>
      <c r="I75" s="820">
        <v>0.12</v>
      </c>
      <c r="J75" s="1285">
        <f t="shared" si="21"/>
        <v>0</v>
      </c>
      <c r="K75" s="1285">
        <f t="shared" si="22"/>
        <v>0</v>
      </c>
      <c r="L75" s="1285">
        <v>0</v>
      </c>
      <c r="M75" s="1285">
        <f t="shared" si="23"/>
        <v>0</v>
      </c>
      <c r="N75" s="1285">
        <f t="shared" si="23"/>
        <v>0</v>
      </c>
      <c r="AA75" s="1371"/>
      <c r="AB75" s="1371"/>
      <c r="AC75" s="1371"/>
      <c r="AD75" s="1371"/>
      <c r="AE75" s="1371"/>
      <c r="AF75" s="1371"/>
      <c r="AG75" s="1371"/>
      <c r="AH75" s="1371"/>
      <c r="AI75" s="1371"/>
      <c r="AJ75" s="1371"/>
      <c r="AK75" s="1371"/>
    </row>
    <row r="76" spans="1:37" s="2719" customFormat="1" ht="26">
      <c r="A76" s="2870" t="s">
        <v>2950</v>
      </c>
      <c r="B76" s="2876" t="s">
        <v>2951</v>
      </c>
      <c r="C76" s="2770"/>
      <c r="D76" s="1286">
        <f t="shared" si="19"/>
        <v>0</v>
      </c>
      <c r="E76" s="826"/>
      <c r="F76" s="2501"/>
      <c r="G76" s="1284"/>
      <c r="H76" s="1288" t="str">
        <f t="shared" si="20"/>
        <v>——</v>
      </c>
      <c r="I76" s="820">
        <v>0.05</v>
      </c>
      <c r="J76" s="1285">
        <f t="shared" si="21"/>
        <v>0</v>
      </c>
      <c r="K76" s="1285">
        <f t="shared" si="22"/>
        <v>0</v>
      </c>
      <c r="L76" s="1285">
        <v>0</v>
      </c>
      <c r="M76" s="1285">
        <f t="shared" si="23"/>
        <v>0</v>
      </c>
      <c r="N76" s="1285">
        <f t="shared" si="23"/>
        <v>0</v>
      </c>
      <c r="AA76" s="2881"/>
      <c r="AB76" s="1371"/>
      <c r="AC76" s="1371"/>
      <c r="AD76" s="1371"/>
      <c r="AE76" s="1371"/>
      <c r="AF76" s="1371"/>
      <c r="AG76" s="1371"/>
      <c r="AH76" s="2881"/>
      <c r="AI76" s="2881"/>
      <c r="AJ76" s="2881"/>
      <c r="AK76" s="2881"/>
    </row>
    <row r="77" spans="1:37" ht="37.5">
      <c r="A77" s="2870" t="s">
        <v>2954</v>
      </c>
      <c r="B77" s="2873" t="str">
        <f>估价对象房地状况!C20</f>
        <v>区域自然环境：；人文环境；综合评价环境状况一般</v>
      </c>
      <c r="C77" s="2770"/>
      <c r="D77" s="1286">
        <f t="shared" si="19"/>
        <v>0</v>
      </c>
      <c r="E77" s="826"/>
      <c r="F77" s="2501"/>
      <c r="G77" s="1284"/>
      <c r="H77" s="1288" t="str">
        <f t="shared" si="20"/>
        <v>——</v>
      </c>
      <c r="I77" s="820">
        <v>0.15</v>
      </c>
      <c r="J77" s="1285">
        <f t="shared" si="21"/>
        <v>0</v>
      </c>
      <c r="K77" s="1285">
        <f t="shared" si="22"/>
        <v>0</v>
      </c>
      <c r="L77" s="1285">
        <v>0</v>
      </c>
      <c r="M77" s="1285">
        <f t="shared" si="23"/>
        <v>0</v>
      </c>
      <c r="N77" s="1285">
        <f t="shared" si="23"/>
        <v>0</v>
      </c>
      <c r="Z77" s="2720"/>
      <c r="AA77" s="2788"/>
      <c r="AG77" s="1372"/>
      <c r="AK77" s="2788"/>
    </row>
    <row r="78" spans="1:37" ht="26.5" thickBot="1">
      <c r="A78" s="2878" t="s">
        <v>2961</v>
      </c>
      <c r="B78" s="2882"/>
      <c r="C78" s="2770"/>
      <c r="D78" s="1286">
        <f t="shared" si="19"/>
        <v>0</v>
      </c>
      <c r="E78" s="827"/>
      <c r="F78" s="2501"/>
      <c r="G78" s="1284"/>
      <c r="H78" s="1288" t="str">
        <f t="shared" si="20"/>
        <v>——</v>
      </c>
      <c r="I78" s="824">
        <v>0.04</v>
      </c>
      <c r="J78" s="1285">
        <f t="shared" si="21"/>
        <v>0</v>
      </c>
      <c r="K78" s="1285">
        <f t="shared" si="22"/>
        <v>0</v>
      </c>
      <c r="L78" s="1285">
        <v>0</v>
      </c>
      <c r="M78" s="1285">
        <f t="shared" si="23"/>
        <v>0</v>
      </c>
      <c r="N78" s="1285">
        <f t="shared" si="23"/>
        <v>0</v>
      </c>
      <c r="Z78" s="2720"/>
      <c r="AA78" s="2788"/>
      <c r="AG78" s="1372"/>
      <c r="AK78" s="2788"/>
    </row>
    <row r="79" spans="1:37" ht="14">
      <c r="A79" s="2866" t="s">
        <v>2962</v>
      </c>
      <c r="B79" s="2867">
        <f>1+E81</f>
        <v>1</v>
      </c>
      <c r="C79" s="814"/>
      <c r="D79" s="814"/>
      <c r="E79" s="815"/>
      <c r="F79" s="2869"/>
      <c r="G79" s="6"/>
      <c r="H79" s="6"/>
      <c r="I79" s="6"/>
      <c r="J79" s="7"/>
      <c r="K79" s="7"/>
      <c r="L79" s="7"/>
      <c r="M79" s="7"/>
      <c r="N79" s="7"/>
      <c r="Z79" s="2720"/>
      <c r="AA79" s="2788"/>
      <c r="AG79" s="1372"/>
      <c r="AK79" s="2788"/>
    </row>
    <row r="80" spans="1:37" ht="26">
      <c r="A80" s="2870" t="s">
        <v>2936</v>
      </c>
      <c r="B80" s="1808"/>
      <c r="C80" s="1808" t="s">
        <v>2938</v>
      </c>
      <c r="D80" s="1808" t="s">
        <v>2939</v>
      </c>
      <c r="E80" s="819" t="s">
        <v>2940</v>
      </c>
      <c r="F80" s="2871" t="s">
        <v>2956</v>
      </c>
      <c r="G80" s="1808" t="s">
        <v>754</v>
      </c>
      <c r="H80" s="2872" t="s">
        <v>2942</v>
      </c>
      <c r="I80" s="1808" t="s">
        <v>2943</v>
      </c>
      <c r="J80" s="603" t="s">
        <v>2591</v>
      </c>
      <c r="K80" s="603" t="s">
        <v>2592</v>
      </c>
      <c r="L80" s="603" t="s">
        <v>2593</v>
      </c>
      <c r="M80" s="603" t="s">
        <v>2594</v>
      </c>
      <c r="N80" s="603" t="s">
        <v>2595</v>
      </c>
      <c r="Z80" s="2720"/>
      <c r="AA80" s="2788"/>
      <c r="AG80" s="1372"/>
      <c r="AK80" s="2788"/>
    </row>
    <row r="81" spans="1:37" ht="37.5">
      <c r="A81" s="2870" t="s">
        <v>2963</v>
      </c>
      <c r="B81" s="2874" t="str">
        <f>估价对象房地状况!G15</f>
        <v>估价对象位于XX开发区，园区建设成熟度XX，产业集聚程度XX</v>
      </c>
      <c r="C81" s="2770"/>
      <c r="D81" s="1286">
        <f t="shared" ref="D81:D88" si="24">SUMIF($J$80:$N$80,C81,J81:N81)</f>
        <v>0</v>
      </c>
      <c r="E81" s="821">
        <f>ROUND(SUM(D81:D88),4)</f>
        <v>0</v>
      </c>
      <c r="F81" s="2501" t="str">
        <f>IF(E2="工业",SUMIF(L1:L12,G2,N1:N12),"——")</f>
        <v>——</v>
      </c>
      <c r="G81" s="1284"/>
      <c r="H81" s="1288" t="str">
        <f t="shared" ref="H81:H88" si="25">IFERROR(ROUNDDOWN($F$81*I81/2,4),"——")</f>
        <v>——</v>
      </c>
      <c r="I81" s="820">
        <v>0.26</v>
      </c>
      <c r="J81" s="1285">
        <f t="shared" ref="J81:J88" si="26">K81+$G81</f>
        <v>0</v>
      </c>
      <c r="K81" s="1285">
        <f t="shared" ref="K81:K88" si="27">$L81+$G81</f>
        <v>0</v>
      </c>
      <c r="L81" s="1285">
        <v>0</v>
      </c>
      <c r="M81" s="1285">
        <f t="shared" ref="M81:N88" si="28">L81-$G81</f>
        <v>0</v>
      </c>
      <c r="N81" s="1285">
        <f t="shared" si="28"/>
        <v>0</v>
      </c>
      <c r="Z81" s="2720"/>
      <c r="AA81" s="2788"/>
      <c r="AG81" s="1372"/>
      <c r="AK81" s="2788"/>
    </row>
    <row r="82" spans="1:37" ht="50">
      <c r="A82" s="2870" t="s">
        <v>2945</v>
      </c>
      <c r="B82" s="2874" t="str">
        <f>估价对象房地状况!G16</f>
        <v>估价对象周边道路状况、公共交通通达情况、停车便捷程度，综合评价交通便捷度较好</v>
      </c>
      <c r="C82" s="2770"/>
      <c r="D82" s="1286">
        <f t="shared" si="24"/>
        <v>0</v>
      </c>
      <c r="E82" s="826"/>
      <c r="F82" s="2501"/>
      <c r="G82" s="1284"/>
      <c r="H82" s="1288" t="str">
        <f t="shared" si="25"/>
        <v>——</v>
      </c>
      <c r="I82" s="820">
        <v>0.33</v>
      </c>
      <c r="J82" s="1285">
        <f t="shared" si="26"/>
        <v>0</v>
      </c>
      <c r="K82" s="1285">
        <f t="shared" si="27"/>
        <v>0</v>
      </c>
      <c r="L82" s="1285">
        <v>0</v>
      </c>
      <c r="M82" s="1285">
        <f t="shared" si="28"/>
        <v>0</v>
      </c>
      <c r="N82" s="1285">
        <f t="shared" si="28"/>
        <v>0</v>
      </c>
      <c r="Z82" s="2720"/>
      <c r="AA82" s="2788"/>
      <c r="AG82" s="1372"/>
      <c r="AK82" s="2788"/>
    </row>
    <row r="83" spans="1:37" ht="26">
      <c r="A83" s="2870" t="s">
        <v>2946</v>
      </c>
      <c r="B83" s="2874">
        <f>估价对象房地状况!G17</f>
        <v>0</v>
      </c>
      <c r="C83" s="2770"/>
      <c r="D83" s="1286">
        <f t="shared" si="24"/>
        <v>0</v>
      </c>
      <c r="E83" s="826"/>
      <c r="F83" s="2501"/>
      <c r="G83" s="1284"/>
      <c r="H83" s="1288" t="str">
        <f t="shared" si="25"/>
        <v>——</v>
      </c>
      <c r="I83" s="820">
        <v>0.05</v>
      </c>
      <c r="J83" s="1285">
        <f t="shared" si="26"/>
        <v>0</v>
      </c>
      <c r="K83" s="1285">
        <f t="shared" si="27"/>
        <v>0</v>
      </c>
      <c r="L83" s="1285">
        <v>0</v>
      </c>
      <c r="M83" s="1285">
        <f t="shared" si="28"/>
        <v>0</v>
      </c>
      <c r="N83" s="1285">
        <f t="shared" si="28"/>
        <v>0</v>
      </c>
      <c r="Z83" s="2720"/>
      <c r="AA83" s="2788"/>
      <c r="AG83" s="1372"/>
      <c r="AK83" s="2788"/>
    </row>
    <row r="84" spans="1:37" ht="14">
      <c r="A84" s="2870" t="s">
        <v>2960</v>
      </c>
      <c r="B84" s="2874">
        <f>估价对象房地状况!G22</f>
        <v>0</v>
      </c>
      <c r="C84" s="2770"/>
      <c r="D84" s="1286">
        <f t="shared" si="24"/>
        <v>0</v>
      </c>
      <c r="E84" s="826"/>
      <c r="F84" s="2501"/>
      <c r="G84" s="1284"/>
      <c r="H84" s="1288" t="str">
        <f t="shared" si="25"/>
        <v>——</v>
      </c>
      <c r="I84" s="820">
        <v>0.04</v>
      </c>
      <c r="J84" s="1285">
        <f t="shared" si="26"/>
        <v>0</v>
      </c>
      <c r="K84" s="1285">
        <f t="shared" si="27"/>
        <v>0</v>
      </c>
      <c r="L84" s="1285">
        <v>0</v>
      </c>
      <c r="M84" s="1285">
        <f t="shared" si="28"/>
        <v>0</v>
      </c>
      <c r="N84" s="1285">
        <f t="shared" si="28"/>
        <v>0</v>
      </c>
      <c r="Z84" s="2720"/>
      <c r="AA84" s="2788"/>
      <c r="AG84" s="1372"/>
      <c r="AK84" s="2788"/>
    </row>
    <row r="85" spans="1:37" ht="26">
      <c r="A85" s="2870" t="s">
        <v>2952</v>
      </c>
      <c r="B85" s="1724" t="str">
        <f>估价对象房地状况!G19</f>
        <v>估价对象所在区域公共配套设施齐备情况</v>
      </c>
      <c r="C85" s="2770"/>
      <c r="D85" s="1286">
        <f t="shared" si="24"/>
        <v>0</v>
      </c>
      <c r="E85" s="826"/>
      <c r="F85" s="2501"/>
      <c r="G85" s="1284"/>
      <c r="H85" s="1288" t="str">
        <f t="shared" si="25"/>
        <v>——</v>
      </c>
      <c r="I85" s="820">
        <v>0.06</v>
      </c>
      <c r="J85" s="1285">
        <f t="shared" si="26"/>
        <v>0</v>
      </c>
      <c r="K85" s="1285">
        <f t="shared" si="27"/>
        <v>0</v>
      </c>
      <c r="L85" s="1285">
        <v>0</v>
      </c>
      <c r="M85" s="1285">
        <f t="shared" si="28"/>
        <v>0</v>
      </c>
      <c r="N85" s="1285">
        <f t="shared" si="28"/>
        <v>0</v>
      </c>
      <c r="Z85" s="2720"/>
      <c r="AA85" s="2788"/>
      <c r="AG85" s="1372"/>
      <c r="AK85" s="2788"/>
    </row>
    <row r="86" spans="1:37" ht="26">
      <c r="A86" s="2870" t="s">
        <v>2953</v>
      </c>
      <c r="B86" s="1724" t="str">
        <f>估价对象房地状况!G20</f>
        <v>估价对象所在区域基础设施水平</v>
      </c>
      <c r="C86" s="2770"/>
      <c r="D86" s="1286">
        <f t="shared" si="24"/>
        <v>0</v>
      </c>
      <c r="E86" s="826"/>
      <c r="F86" s="2501"/>
      <c r="G86" s="1284"/>
      <c r="H86" s="1288" t="str">
        <f t="shared" si="25"/>
        <v>——</v>
      </c>
      <c r="I86" s="820">
        <v>0.15</v>
      </c>
      <c r="J86" s="1285">
        <f t="shared" si="26"/>
        <v>0</v>
      </c>
      <c r="K86" s="1285">
        <f t="shared" si="27"/>
        <v>0</v>
      </c>
      <c r="L86" s="1285">
        <v>0</v>
      </c>
      <c r="M86" s="1285">
        <f t="shared" si="28"/>
        <v>0</v>
      </c>
      <c r="N86" s="1285">
        <f t="shared" si="28"/>
        <v>0</v>
      </c>
      <c r="Z86" s="2720"/>
      <c r="AA86" s="2788"/>
      <c r="AG86" s="1372"/>
      <c r="AK86" s="2788"/>
    </row>
    <row r="87" spans="1:37" ht="26">
      <c r="A87" s="2870" t="s">
        <v>2950</v>
      </c>
      <c r="B87" s="2876" t="s">
        <v>2964</v>
      </c>
      <c r="C87" s="2770"/>
      <c r="D87" s="1286">
        <f t="shared" si="24"/>
        <v>0</v>
      </c>
      <c r="E87" s="826"/>
      <c r="F87" s="2501"/>
      <c r="G87" s="1284"/>
      <c r="H87" s="1288" t="str">
        <f t="shared" si="25"/>
        <v>——</v>
      </c>
      <c r="I87" s="820">
        <v>0.05</v>
      </c>
      <c r="J87" s="1285">
        <f t="shared" si="26"/>
        <v>0</v>
      </c>
      <c r="K87" s="1285">
        <f t="shared" si="27"/>
        <v>0</v>
      </c>
      <c r="L87" s="1285">
        <v>0</v>
      </c>
      <c r="M87" s="1285">
        <f t="shared" si="28"/>
        <v>0</v>
      </c>
      <c r="N87" s="1285">
        <f t="shared" si="28"/>
        <v>0</v>
      </c>
      <c r="Z87" s="2720"/>
      <c r="AA87" s="2788"/>
      <c r="AG87" s="1372"/>
      <c r="AK87" s="2788"/>
    </row>
    <row r="88" spans="1:37" ht="50.5" thickBot="1">
      <c r="A88" s="2878" t="s">
        <v>2965</v>
      </c>
      <c r="B88" s="2883" t="str">
        <f>估价对象房地状况!G18</f>
        <v>该园区内是否有污染型企业，绿化情况，卫生条件，整体环境状况判断</v>
      </c>
      <c r="C88" s="2770"/>
      <c r="D88" s="1286">
        <f t="shared" si="24"/>
        <v>0</v>
      </c>
      <c r="E88" s="827"/>
      <c r="F88" s="2501"/>
      <c r="G88" s="1284"/>
      <c r="H88" s="1288" t="str">
        <f t="shared" si="25"/>
        <v>——</v>
      </c>
      <c r="I88" s="824">
        <v>0.06</v>
      </c>
      <c r="J88" s="1285">
        <f t="shared" si="26"/>
        <v>0</v>
      </c>
      <c r="K88" s="1285">
        <f t="shared" si="27"/>
        <v>0</v>
      </c>
      <c r="L88" s="1285">
        <v>0</v>
      </c>
      <c r="M88" s="1285">
        <f t="shared" si="28"/>
        <v>0</v>
      </c>
      <c r="N88" s="1285">
        <f t="shared" si="28"/>
        <v>0</v>
      </c>
      <c r="Z88" s="2720"/>
      <c r="AA88" s="2788"/>
      <c r="AG88" s="1372"/>
      <c r="AK88" s="2788"/>
    </row>
    <row r="90" spans="1:37" ht="13">
      <c r="A90" s="3279" t="s">
        <v>2966</v>
      </c>
      <c r="B90" s="3279"/>
      <c r="C90" s="3279"/>
      <c r="D90" s="3279"/>
      <c r="E90" s="3279"/>
      <c r="F90" s="3279"/>
      <c r="G90" s="3279"/>
      <c r="H90" s="3279"/>
      <c r="I90" s="3279"/>
      <c r="J90" s="3279"/>
      <c r="K90" s="2884"/>
      <c r="L90" s="2884"/>
      <c r="M90" s="2884"/>
      <c r="N90" s="2884"/>
    </row>
    <row r="91" spans="1:37" ht="13">
      <c r="A91" s="3281" t="s">
        <v>2967</v>
      </c>
      <c r="B91" s="3281" t="s">
        <v>2968</v>
      </c>
      <c r="C91" s="2838" t="s">
        <v>2969</v>
      </c>
      <c r="D91" s="2839"/>
      <c r="E91" s="2839"/>
      <c r="F91" s="2839"/>
      <c r="G91" s="2839"/>
      <c r="H91" s="2839"/>
      <c r="I91" s="2839"/>
      <c r="J91" s="2885"/>
      <c r="K91" s="2886"/>
      <c r="L91" s="2886"/>
      <c r="M91" s="2886"/>
      <c r="N91" s="2886"/>
    </row>
    <row r="92" spans="1:37" ht="13">
      <c r="A92" s="3281"/>
      <c r="B92" s="3281"/>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282" t="s">
        <v>2970</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83"/>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83"/>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83"/>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83"/>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83"/>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ht="13">
      <c r="A99" s="3283"/>
      <c r="B99" s="2887" t="s">
        <v>2851</v>
      </c>
      <c r="C99" s="2889">
        <f>$I$3</f>
        <v>0</v>
      </c>
      <c r="D99" s="2889">
        <f t="shared" ref="D99:M99" si="29">$I$3</f>
        <v>0</v>
      </c>
      <c r="E99" s="2889">
        <f t="shared" si="29"/>
        <v>0</v>
      </c>
      <c r="F99" s="2889">
        <f t="shared" si="29"/>
        <v>0</v>
      </c>
      <c r="G99" s="2889">
        <f t="shared" si="29"/>
        <v>0</v>
      </c>
      <c r="H99" s="2889">
        <f t="shared" si="29"/>
        <v>0</v>
      </c>
      <c r="I99" s="2889">
        <f t="shared" si="29"/>
        <v>0</v>
      </c>
      <c r="J99" s="2889">
        <f t="shared" si="29"/>
        <v>0</v>
      </c>
      <c r="K99" s="2889">
        <f t="shared" si="29"/>
        <v>0</v>
      </c>
      <c r="L99" s="2889">
        <f t="shared" si="29"/>
        <v>0</v>
      </c>
      <c r="M99" s="2889">
        <f t="shared" si="29"/>
        <v>0</v>
      </c>
      <c r="N99" s="2889">
        <f>$I$3</f>
        <v>0</v>
      </c>
    </row>
    <row r="100" spans="1:14">
      <c r="A100" s="3284"/>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ht="13">
      <c r="A101" s="3282" t="s">
        <v>2971</v>
      </c>
      <c r="B101" s="2891" t="s">
        <v>2972</v>
      </c>
      <c r="C101" s="2892">
        <f>$G$3</f>
        <v>3.07</v>
      </c>
      <c r="D101" s="2892">
        <f t="shared" ref="D101:N101" si="30">$G$3</f>
        <v>3.07</v>
      </c>
      <c r="E101" s="2892">
        <f t="shared" si="30"/>
        <v>3.07</v>
      </c>
      <c r="F101" s="2892">
        <f t="shared" si="30"/>
        <v>3.07</v>
      </c>
      <c r="G101" s="2892">
        <f t="shared" si="30"/>
        <v>3.07</v>
      </c>
      <c r="H101" s="2892">
        <f t="shared" si="30"/>
        <v>3.07</v>
      </c>
      <c r="I101" s="2892">
        <f t="shared" si="30"/>
        <v>3.07</v>
      </c>
      <c r="J101" s="2892">
        <f t="shared" si="30"/>
        <v>3.07</v>
      </c>
      <c r="K101" s="2892">
        <f t="shared" si="30"/>
        <v>3.07</v>
      </c>
      <c r="L101" s="2892">
        <f t="shared" si="30"/>
        <v>3.07</v>
      </c>
      <c r="M101" s="2892">
        <f t="shared" si="30"/>
        <v>3.07</v>
      </c>
      <c r="N101" s="2892">
        <f t="shared" si="30"/>
        <v>3.07</v>
      </c>
    </row>
    <row r="102" spans="1:14">
      <c r="A102" s="3283"/>
      <c r="B102" s="2887">
        <v>1</v>
      </c>
      <c r="C102" s="2888">
        <f>1.9362/C101</f>
        <v>0.6306840390879479</v>
      </c>
      <c r="D102" s="2888">
        <f>1.9362/D101</f>
        <v>0.6306840390879479</v>
      </c>
      <c r="E102" s="2888">
        <f>1.8629/E101</f>
        <v>0.60680781758957658</v>
      </c>
      <c r="F102" s="2888">
        <f>1.8629/F101</f>
        <v>0.60680781758957658</v>
      </c>
      <c r="G102" s="2888">
        <f>1.8629/G101</f>
        <v>0.60680781758957658</v>
      </c>
      <c r="H102" s="2888">
        <f>1.8629/H101</f>
        <v>0.60680781758957658</v>
      </c>
      <c r="I102" s="2888">
        <f>1.8629/I101</f>
        <v>0.60680781758957658</v>
      </c>
      <c r="J102" s="2888">
        <f>1.942/J101</f>
        <v>0.63257328990228012</v>
      </c>
      <c r="K102" s="2888">
        <f>1.942/K101</f>
        <v>0.63257328990228012</v>
      </c>
      <c r="L102" s="2888">
        <f>1.942/L101</f>
        <v>0.63257328990228012</v>
      </c>
      <c r="M102" s="2888">
        <f>1.942/M101</f>
        <v>0.63257328990228012</v>
      </c>
      <c r="N102" s="2888">
        <f>1.942/N101</f>
        <v>0.63257328990228012</v>
      </c>
    </row>
    <row r="103" spans="1:14">
      <c r="A103" s="3283"/>
      <c r="B103" s="2887">
        <v>2</v>
      </c>
      <c r="C103" s="2888">
        <f>1.4198/C101</f>
        <v>0.46247557003257328</v>
      </c>
      <c r="D103" s="2888">
        <f>1.4198/D101</f>
        <v>0.46247557003257328</v>
      </c>
      <c r="E103" s="2888">
        <f>1.3372/E101</f>
        <v>0.43557003257328991</v>
      </c>
      <c r="F103" s="2888">
        <f>1.3372/F101</f>
        <v>0.43557003257328991</v>
      </c>
      <c r="G103" s="2888">
        <f>1.3372/G101</f>
        <v>0.43557003257328991</v>
      </c>
      <c r="H103" s="2888">
        <f>1.3372/H101</f>
        <v>0.43557003257328991</v>
      </c>
      <c r="I103" s="2888">
        <f>1.3372/I101</f>
        <v>0.43557003257328991</v>
      </c>
      <c r="J103" s="2888">
        <f>1.2799/J101</f>
        <v>0.41690553745928344</v>
      </c>
      <c r="K103" s="2888">
        <f>1.2799/K101</f>
        <v>0.41690553745928344</v>
      </c>
      <c r="L103" s="2888">
        <f>1.2799/L101</f>
        <v>0.41690553745928344</v>
      </c>
      <c r="M103" s="2888">
        <f>1.2799/M101</f>
        <v>0.41690553745928344</v>
      </c>
      <c r="N103" s="2888">
        <f>1.2799/N101</f>
        <v>0.41690553745928344</v>
      </c>
    </row>
    <row r="104" spans="1:14">
      <c r="A104" s="3283"/>
      <c r="B104" s="2887">
        <v>3</v>
      </c>
      <c r="C104" s="2888">
        <f>1.1594/C101</f>
        <v>0.37765472312703585</v>
      </c>
      <c r="D104" s="2888">
        <f>1.1594/D101</f>
        <v>0.37765472312703585</v>
      </c>
      <c r="E104" s="2888">
        <f>1.0788/E101</f>
        <v>0.35140065146579808</v>
      </c>
      <c r="F104" s="2888">
        <f>1.0788/F101</f>
        <v>0.35140065146579808</v>
      </c>
      <c r="G104" s="2888">
        <f>1.0788/G101</f>
        <v>0.35140065146579808</v>
      </c>
      <c r="H104" s="2888">
        <f>1.0788/H101</f>
        <v>0.35140065146579808</v>
      </c>
      <c r="I104" s="2888">
        <f>1.0788/I101</f>
        <v>0.35140065146579808</v>
      </c>
      <c r="J104" s="2888">
        <f>1.0072/J101</f>
        <v>0.32807817589576554</v>
      </c>
      <c r="K104" s="2888">
        <f>1.0072/K101</f>
        <v>0.32807817589576554</v>
      </c>
      <c r="L104" s="2888">
        <f>1.0072/L101</f>
        <v>0.32807817589576554</v>
      </c>
      <c r="M104" s="2888">
        <f>1.0072/M101</f>
        <v>0.32807817589576554</v>
      </c>
      <c r="N104" s="2888">
        <f>1.0072/N101</f>
        <v>0.32807817589576554</v>
      </c>
    </row>
    <row r="105" spans="1:14">
      <c r="A105" s="3283"/>
      <c r="B105" s="2887">
        <v>4</v>
      </c>
      <c r="C105" s="2888">
        <f>0.9622/C101</f>
        <v>0.31342019543973942</v>
      </c>
      <c r="D105" s="2888">
        <f>0.9622/D101</f>
        <v>0.31342019543973942</v>
      </c>
      <c r="E105" s="2888">
        <f>0.8656/E101</f>
        <v>0.28195439739413686</v>
      </c>
      <c r="F105" s="2888">
        <f>0.8656/F101</f>
        <v>0.28195439739413686</v>
      </c>
      <c r="G105" s="2888">
        <f>0.8656/G101</f>
        <v>0.28195439739413686</v>
      </c>
      <c r="H105" s="2888">
        <f>0.8656/H101</f>
        <v>0.28195439739413686</v>
      </c>
      <c r="I105" s="2888">
        <f>0.8656/I101</f>
        <v>0.28195439739413686</v>
      </c>
      <c r="J105" s="2888">
        <f>0.7525/J101</f>
        <v>0.24511400651465798</v>
      </c>
      <c r="K105" s="2888">
        <f>0.7525/K101</f>
        <v>0.24511400651465798</v>
      </c>
      <c r="L105" s="2888">
        <f>0.7525/L101</f>
        <v>0.24511400651465798</v>
      </c>
      <c r="M105" s="2888">
        <f>0.7525/M101</f>
        <v>0.24511400651465798</v>
      </c>
      <c r="N105" s="2888">
        <f>0.7525/N101</f>
        <v>0.24511400651465798</v>
      </c>
    </row>
    <row r="106" spans="1:14">
      <c r="A106" s="3283"/>
      <c r="B106" s="2887">
        <v>5</v>
      </c>
      <c r="C106" s="2888">
        <f>0.8417/C101</f>
        <v>0.27416938110749189</v>
      </c>
      <c r="D106" s="2888">
        <f>0.8417/D101</f>
        <v>0.27416938110749189</v>
      </c>
      <c r="E106" s="2888">
        <f>0.7371/E101</f>
        <v>0.24009771986970685</v>
      </c>
      <c r="F106" s="2888">
        <f>0.7371/F101</f>
        <v>0.24009771986970685</v>
      </c>
      <c r="G106" s="2888">
        <f>0.7371/G101</f>
        <v>0.24009771986970685</v>
      </c>
      <c r="H106" s="2888">
        <f>0.7371/H101</f>
        <v>0.24009771986970685</v>
      </c>
      <c r="I106" s="2888">
        <f>0.7371/I101</f>
        <v>0.24009771986970685</v>
      </c>
      <c r="J106" s="2888">
        <f>0.5659/J101</f>
        <v>0.18433224755700325</v>
      </c>
      <c r="K106" s="2888">
        <f>0.5659/K101</f>
        <v>0.18433224755700325</v>
      </c>
      <c r="L106" s="2888">
        <f>0.5659/L101</f>
        <v>0.18433224755700325</v>
      </c>
      <c r="M106" s="2888">
        <f>0.5659/M101</f>
        <v>0.18433224755700325</v>
      </c>
      <c r="N106" s="2888">
        <f>0.5659/N101</f>
        <v>0.18433224755700325</v>
      </c>
    </row>
    <row r="107" spans="1:14">
      <c r="A107" s="3283"/>
      <c r="B107" s="2887">
        <v>6</v>
      </c>
      <c r="C107" s="2888">
        <f>0.7608/C101</f>
        <v>0.24781758957654726</v>
      </c>
      <c r="D107" s="2888">
        <f>0.7608/D101</f>
        <v>0.24781758957654726</v>
      </c>
      <c r="E107" s="2888">
        <f>0.6482/E101</f>
        <v>0.21114006514657982</v>
      </c>
      <c r="F107" s="2888">
        <f>0.6482/F101</f>
        <v>0.21114006514657982</v>
      </c>
      <c r="G107" s="2888">
        <f>0.6482/G101</f>
        <v>0.21114006514657982</v>
      </c>
      <c r="H107" s="2888">
        <f>0.6482/H101</f>
        <v>0.21114006514657982</v>
      </c>
      <c r="I107" s="2888">
        <f>0.6482/I101</f>
        <v>0.21114006514657982</v>
      </c>
      <c r="J107" s="2888">
        <f>0.4525/J101</f>
        <v>0.1473941368078176</v>
      </c>
      <c r="K107" s="2888">
        <f>0.4525/K101</f>
        <v>0.1473941368078176</v>
      </c>
      <c r="L107" s="2888">
        <f>0.4525/L101</f>
        <v>0.1473941368078176</v>
      </c>
      <c r="M107" s="2888">
        <f>0.4525/M101</f>
        <v>0.1473941368078176</v>
      </c>
      <c r="N107" s="2888">
        <f>0.4525/N101</f>
        <v>0.1473941368078176</v>
      </c>
    </row>
    <row r="108" spans="1:14">
      <c r="A108" s="3283"/>
      <c r="B108" s="3140" t="s">
        <v>2973</v>
      </c>
      <c r="C108" s="2889">
        <f>C99</f>
        <v>0</v>
      </c>
      <c r="D108" s="2889">
        <f t="shared" ref="D108:N108" si="31">D99</f>
        <v>0</v>
      </c>
      <c r="E108" s="2889">
        <f t="shared" si="31"/>
        <v>0</v>
      </c>
      <c r="F108" s="2889">
        <f t="shared" si="31"/>
        <v>0</v>
      </c>
      <c r="G108" s="2889">
        <f t="shared" si="31"/>
        <v>0</v>
      </c>
      <c r="H108" s="2889">
        <f t="shared" si="31"/>
        <v>0</v>
      </c>
      <c r="I108" s="2889">
        <f t="shared" si="31"/>
        <v>0</v>
      </c>
      <c r="J108" s="2889">
        <f t="shared" si="31"/>
        <v>0</v>
      </c>
      <c r="K108" s="2889">
        <f t="shared" si="31"/>
        <v>0</v>
      </c>
      <c r="L108" s="2889">
        <f t="shared" si="31"/>
        <v>0</v>
      </c>
      <c r="M108" s="2889">
        <f t="shared" si="31"/>
        <v>0</v>
      </c>
      <c r="N108" s="2889">
        <f t="shared" si="31"/>
        <v>0</v>
      </c>
    </row>
    <row r="109" spans="1:14">
      <c r="A109" s="3284"/>
      <c r="B109" s="3141"/>
      <c r="C109" s="2890">
        <f>(-0.163*(C108^2)-0.59*C108+7617)*(10^(-4))/C101</f>
        <v>0.24811074918566778</v>
      </c>
      <c r="D109" s="2890">
        <f>(-0.163*(D108^2)-0.59*D108+7617)*(10^(-4))/D101</f>
        <v>0.24811074918566778</v>
      </c>
      <c r="E109" s="2890">
        <f>(-0.161*(E108^2)-7.509*E108+6533)*(10^(-4))/E101</f>
        <v>0.2128013029315961</v>
      </c>
      <c r="F109" s="2890">
        <f>(-0.161*(F108^2)-7.509*F108+6533)*(10^(-4))/F101</f>
        <v>0.2128013029315961</v>
      </c>
      <c r="G109" s="2890">
        <f>(-0.161*(G108^2)-7.509*G108+6533)*(10^(-4))/G101</f>
        <v>0.2128013029315961</v>
      </c>
      <c r="H109" s="2890">
        <f>(-0.161*(H108^2)-7.509*H108+6533)*(10^(-4))/H101</f>
        <v>0.2128013029315961</v>
      </c>
      <c r="I109" s="2890">
        <f>(-0.161*(I108^2)-7.509*I108+6533)*(10^(-4))/I101</f>
        <v>0.2128013029315961</v>
      </c>
      <c r="J109" s="2890">
        <f>(-0.214*(J108^2)-21.991*J108+4665)*(10^(-4))/J101</f>
        <v>0.15195439739413683</v>
      </c>
      <c r="K109" s="2890">
        <f>(-0.214*(K108^2)-21.991*K108+4665)*(10^(-4))/K101</f>
        <v>0.15195439739413683</v>
      </c>
      <c r="L109" s="2890">
        <f>(-0.214*(L108^2)-21.991*L108+4665)*(10^(-4))/L101</f>
        <v>0.15195439739413683</v>
      </c>
      <c r="M109" s="2890">
        <f>(-0.214*(M108^2)-21.991*M108+4665)*(10^(-4))/M101</f>
        <v>0.15195439739413683</v>
      </c>
      <c r="N109" s="2890">
        <f>(-0.214*(N108^2)-21.991*N108+4665)*(10^(-4))/N101</f>
        <v>0.15195439739413683</v>
      </c>
    </row>
    <row r="110" spans="1:14" ht="13">
      <c r="A110" s="3280" t="s">
        <v>2974</v>
      </c>
      <c r="B110" s="3280"/>
      <c r="C110" s="3280"/>
      <c r="D110" s="3280"/>
      <c r="E110" s="3280"/>
      <c r="F110" s="3280"/>
      <c r="G110" s="3280"/>
      <c r="H110" s="3280"/>
      <c r="I110" s="3280"/>
      <c r="J110" s="3280"/>
      <c r="K110" s="2893"/>
      <c r="L110" s="2893"/>
      <c r="M110" s="2893"/>
      <c r="N110" s="2893"/>
    </row>
    <row r="112" spans="1:14" ht="13" thickBot="1"/>
    <row r="113" spans="1:13" ht="26" thickBot="1">
      <c r="A113" s="903" t="s">
        <v>2975</v>
      </c>
      <c r="B113" s="1287">
        <f>G3</f>
        <v>3.07</v>
      </c>
      <c r="C113" s="904" t="s">
        <v>2976</v>
      </c>
      <c r="D113" s="905">
        <f>SUMPRODUCT((A115:A118=F113)*(B114:M114=H113)*B115:M118)</f>
        <v>0</v>
      </c>
      <c r="E113" s="2724" t="s">
        <v>2808</v>
      </c>
      <c r="F113" s="2895">
        <f>E2</f>
        <v>0</v>
      </c>
      <c r="G113" s="2724" t="s">
        <v>2809</v>
      </c>
      <c r="H113" s="2895">
        <f>G2</f>
        <v>0</v>
      </c>
      <c r="I113" s="2724"/>
      <c r="J113" s="2896"/>
      <c r="K113" s="2896"/>
      <c r="L113" s="2896"/>
      <c r="M113" s="2896"/>
    </row>
    <row r="114" spans="1:13" ht="13">
      <c r="A114" s="908"/>
      <c r="B114" s="2897" t="s">
        <v>2977</v>
      </c>
      <c r="C114" s="2897" t="s">
        <v>2978</v>
      </c>
      <c r="D114" s="2897" t="s">
        <v>2979</v>
      </c>
      <c r="E114" s="2898" t="s">
        <v>2980</v>
      </c>
      <c r="F114" s="2898" t="s">
        <v>2981</v>
      </c>
      <c r="G114" s="2898" t="s">
        <v>2982</v>
      </c>
      <c r="H114" s="2899" t="s">
        <v>2983</v>
      </c>
      <c r="I114" s="2899" t="s">
        <v>2984</v>
      </c>
      <c r="J114" s="2900" t="s">
        <v>2985</v>
      </c>
      <c r="K114" s="2900" t="s">
        <v>2986</v>
      </c>
      <c r="L114" s="2900" t="s">
        <v>2987</v>
      </c>
      <c r="M114" s="2901" t="s">
        <v>2988</v>
      </c>
    </row>
    <row r="115" spans="1:13" ht="13">
      <c r="A115" s="909" t="s">
        <v>2873</v>
      </c>
      <c r="B115" s="910">
        <f>ROUND(0.9335-0.0094*B113,4)</f>
        <v>0.90459999999999996</v>
      </c>
      <c r="C115" s="910">
        <f>B115</f>
        <v>0.90459999999999996</v>
      </c>
      <c r="D115" s="910">
        <f>ROUND(0.8331-0.0109*B113,4)</f>
        <v>0.79959999999999998</v>
      </c>
      <c r="E115" s="910">
        <f>D115</f>
        <v>0.79959999999999998</v>
      </c>
      <c r="F115" s="910">
        <f>E115</f>
        <v>0.79959999999999998</v>
      </c>
      <c r="G115" s="910">
        <f>F115</f>
        <v>0.79959999999999998</v>
      </c>
      <c r="H115" s="910">
        <f>G115</f>
        <v>0.79959999999999998</v>
      </c>
      <c r="I115" s="910">
        <f>ROUND(0.689-0.0155*B113,4)</f>
        <v>0.64139999999999997</v>
      </c>
      <c r="J115" s="910">
        <f t="shared" ref="J115:M118" si="32">I115</f>
        <v>0.64139999999999997</v>
      </c>
      <c r="K115" s="910">
        <f t="shared" si="32"/>
        <v>0.64139999999999997</v>
      </c>
      <c r="L115" s="910">
        <f t="shared" si="32"/>
        <v>0.64139999999999997</v>
      </c>
      <c r="M115" s="911">
        <f t="shared" si="32"/>
        <v>0.64139999999999997</v>
      </c>
    </row>
    <row r="116" spans="1:13" ht="13">
      <c r="A116" s="909" t="s">
        <v>2874</v>
      </c>
      <c r="B116" s="910">
        <f>ROUND(0.949-0.012*B113,4)</f>
        <v>0.91220000000000001</v>
      </c>
      <c r="C116" s="910">
        <f>B116</f>
        <v>0.91220000000000001</v>
      </c>
      <c r="D116" s="910">
        <f>ROUND(0.8567-0.013*B113,4)</f>
        <v>0.81679999999999997</v>
      </c>
      <c r="E116" s="910">
        <f t="shared" ref="E116:H117" si="33">D116</f>
        <v>0.81679999999999997</v>
      </c>
      <c r="F116" s="910">
        <f t="shared" si="33"/>
        <v>0.81679999999999997</v>
      </c>
      <c r="G116" s="910">
        <f t="shared" si="33"/>
        <v>0.81679999999999997</v>
      </c>
      <c r="H116" s="910">
        <f t="shared" si="33"/>
        <v>0.81679999999999997</v>
      </c>
      <c r="I116" s="910">
        <f>ROUND(0.7694-0.014*B113,4)</f>
        <v>0.72640000000000005</v>
      </c>
      <c r="J116" s="910">
        <f t="shared" si="32"/>
        <v>0.72640000000000005</v>
      </c>
      <c r="K116" s="910">
        <f t="shared" si="32"/>
        <v>0.72640000000000005</v>
      </c>
      <c r="L116" s="910">
        <f t="shared" si="32"/>
        <v>0.72640000000000005</v>
      </c>
      <c r="M116" s="911">
        <f t="shared" si="32"/>
        <v>0.72640000000000005</v>
      </c>
    </row>
    <row r="117" spans="1:13" ht="13">
      <c r="A117" s="909" t="s">
        <v>2875</v>
      </c>
      <c r="B117" s="910">
        <f>ROUND(0.8808-0.006*B113,4)</f>
        <v>0.86240000000000006</v>
      </c>
      <c r="C117" s="910">
        <f>B117</f>
        <v>0.86240000000000006</v>
      </c>
      <c r="D117" s="910">
        <f>ROUND(0.8748-0.008*B113,4)</f>
        <v>0.85019999999999996</v>
      </c>
      <c r="E117" s="910">
        <f t="shared" si="33"/>
        <v>0.85019999999999996</v>
      </c>
      <c r="F117" s="910">
        <f t="shared" si="33"/>
        <v>0.85019999999999996</v>
      </c>
      <c r="G117" s="910">
        <f t="shared" si="33"/>
        <v>0.85019999999999996</v>
      </c>
      <c r="H117" s="910">
        <f t="shared" si="33"/>
        <v>0.85019999999999996</v>
      </c>
      <c r="I117" s="910">
        <f>ROUND(0.7412-0.0095*B113,4)</f>
        <v>0.71199999999999997</v>
      </c>
      <c r="J117" s="910">
        <f t="shared" si="32"/>
        <v>0.71199999999999997</v>
      </c>
      <c r="K117" s="910">
        <f t="shared" si="32"/>
        <v>0.71199999999999997</v>
      </c>
      <c r="L117" s="910">
        <f t="shared" si="32"/>
        <v>0.71199999999999997</v>
      </c>
      <c r="M117" s="911">
        <f t="shared" si="32"/>
        <v>0.71199999999999997</v>
      </c>
    </row>
    <row r="118" spans="1:13" ht="13.5" thickBot="1">
      <c r="A118" s="714" t="s">
        <v>2876</v>
      </c>
      <c r="B118" s="912">
        <f>ROUND(0.7275-0.01*B113,4)</f>
        <v>0.69679999999999997</v>
      </c>
      <c r="C118" s="912">
        <f>B118</f>
        <v>0.69679999999999997</v>
      </c>
      <c r="D118" s="912">
        <f>ROUND(0.7043-0.012*B113,4)</f>
        <v>0.66749999999999998</v>
      </c>
      <c r="E118" s="912">
        <f>D118</f>
        <v>0.66749999999999998</v>
      </c>
      <c r="F118" s="912">
        <f>E118</f>
        <v>0.66749999999999998</v>
      </c>
      <c r="G118" s="912">
        <f>ROUND(0.6299-0.0122*B113,4)</f>
        <v>0.59240000000000004</v>
      </c>
      <c r="H118" s="912">
        <f>G118</f>
        <v>0.59240000000000004</v>
      </c>
      <c r="I118" s="912">
        <f>ROUND(0.5667-0.0136*B113,4)</f>
        <v>0.52490000000000003</v>
      </c>
      <c r="J118" s="912">
        <f t="shared" si="32"/>
        <v>0.52490000000000003</v>
      </c>
      <c r="K118" s="912">
        <f t="shared" si="32"/>
        <v>0.52490000000000003</v>
      </c>
      <c r="L118" s="912">
        <f t="shared" si="32"/>
        <v>0.52490000000000003</v>
      </c>
      <c r="M118" s="913">
        <f t="shared" si="32"/>
        <v>0.52490000000000003</v>
      </c>
    </row>
  </sheetData>
  <sheetProtection password="C66D" sheet="1" objects="1" scenarios="1" formatCells="0" formatColumns="0" formatRows="0"/>
  <dataConsolidate link="1"/>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1796875" defaultRowHeight="19.5" customHeight="1"/>
  <cols>
    <col min="1" max="1" width="13.6328125" style="816" customWidth="1"/>
    <col min="2" max="9" width="8.1796875" style="878" customWidth="1"/>
    <col min="10" max="13" width="8.1796875" style="816"/>
    <col min="14" max="14" width="10" style="816" customWidth="1"/>
    <col min="15" max="16" width="8.1796875" style="816"/>
    <col min="17" max="17" width="34.08984375" style="816" customWidth="1"/>
    <col min="18" max="18" width="8.1796875" style="816" customWidth="1"/>
    <col min="19" max="19" width="8.1796875" style="816"/>
    <col min="20" max="20" width="11.6328125" style="816" customWidth="1"/>
    <col min="21" max="16384" width="8.1796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SUM(J6:J10,J13)</f>
        <v>155</v>
      </c>
      <c r="K15" s="875">
        <f>SUM(K6:K10,K13)</f>
        <v>155</v>
      </c>
      <c r="L15" s="875">
        <f>SUM(L6:L10,L13)</f>
        <v>155</v>
      </c>
      <c r="M15" s="875">
        <f>SUM(M6:M10,M13)</f>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0" t="s">
        <v>183</v>
      </c>
      <c r="B18" s="882" t="s">
        <v>560</v>
      </c>
      <c r="C18" s="883" t="s">
        <v>561</v>
      </c>
      <c r="D18" s="884"/>
      <c r="E18" s="882">
        <v>1</v>
      </c>
      <c r="F18" s="885" t="s">
        <v>562</v>
      </c>
      <c r="G18" s="886"/>
      <c r="H18" s="878"/>
      <c r="I18" s="878"/>
    </row>
    <row r="19" spans="1:9" s="887" customFormat="1" ht="19.5" customHeight="1">
      <c r="A19" s="3290"/>
      <c r="B19" s="3290" t="s">
        <v>563</v>
      </c>
      <c r="C19" s="883" t="s">
        <v>564</v>
      </c>
      <c r="D19" s="884"/>
      <c r="E19" s="882">
        <v>0.9</v>
      </c>
      <c r="F19" s="885" t="s">
        <v>565</v>
      </c>
      <c r="G19" s="886"/>
      <c r="H19" s="878"/>
      <c r="I19" s="878"/>
    </row>
    <row r="20" spans="1:9" s="887" customFormat="1" ht="19.5" customHeight="1">
      <c r="A20" s="3290"/>
      <c r="B20" s="3290"/>
      <c r="C20" s="883" t="s">
        <v>566</v>
      </c>
      <c r="D20" s="884"/>
      <c r="E20" s="882">
        <v>1.1000000000000001</v>
      </c>
      <c r="F20" s="885" t="s">
        <v>567</v>
      </c>
      <c r="G20" s="886"/>
      <c r="H20" s="878"/>
      <c r="I20" s="878"/>
    </row>
    <row r="21" spans="1:9" s="887" customFormat="1" ht="19.5" customHeight="1">
      <c r="A21" s="3290"/>
      <c r="B21" s="3290"/>
      <c r="C21" s="883" t="s">
        <v>568</v>
      </c>
      <c r="D21" s="884"/>
      <c r="E21" s="882">
        <v>0.8</v>
      </c>
      <c r="F21" s="885" t="s">
        <v>569</v>
      </c>
      <c r="G21" s="886"/>
      <c r="H21" s="878"/>
      <c r="I21" s="878"/>
    </row>
    <row r="22" spans="1:9" s="887" customFormat="1" ht="19.5" customHeight="1">
      <c r="A22" s="3290"/>
      <c r="B22" s="3290"/>
      <c r="C22" s="883" t="s">
        <v>570</v>
      </c>
      <c r="D22" s="884"/>
      <c r="E22" s="882">
        <v>0.5</v>
      </c>
      <c r="F22" s="885"/>
      <c r="G22" s="886"/>
      <c r="H22" s="878"/>
      <c r="I22" s="878"/>
    </row>
    <row r="23" spans="1:9" s="887" customFormat="1" ht="19.5" customHeight="1">
      <c r="A23" s="3290" t="s">
        <v>184</v>
      </c>
      <c r="B23" s="882" t="s">
        <v>560</v>
      </c>
      <c r="C23" s="883" t="s">
        <v>571</v>
      </c>
      <c r="D23" s="884"/>
      <c r="E23" s="882">
        <v>1</v>
      </c>
      <c r="F23" s="885" t="s">
        <v>572</v>
      </c>
      <c r="G23" s="886"/>
      <c r="H23" s="878"/>
      <c r="I23" s="878"/>
    </row>
    <row r="24" spans="1:9" s="887" customFormat="1" ht="19.5" customHeight="1">
      <c r="A24" s="3290"/>
      <c r="B24" s="3290" t="s">
        <v>563</v>
      </c>
      <c r="C24" s="883" t="s">
        <v>573</v>
      </c>
      <c r="D24" s="884"/>
      <c r="E24" s="882">
        <v>0.5</v>
      </c>
      <c r="F24" s="885"/>
      <c r="G24" s="886"/>
      <c r="H24" s="878"/>
      <c r="I24" s="878"/>
    </row>
    <row r="25" spans="1:9" s="887" customFormat="1" ht="19.5" customHeight="1">
      <c r="A25" s="3290"/>
      <c r="B25" s="3290"/>
      <c r="C25" s="883" t="s">
        <v>574</v>
      </c>
      <c r="D25" s="884"/>
      <c r="E25" s="882">
        <v>1.1000000000000001</v>
      </c>
      <c r="F25" s="885"/>
      <c r="G25" s="886"/>
      <c r="H25" s="878"/>
      <c r="I25" s="878"/>
    </row>
    <row r="26" spans="1:9" s="887" customFormat="1" ht="19.5" customHeight="1">
      <c r="A26" s="3290"/>
      <c r="B26" s="3290"/>
      <c r="C26" s="883" t="s">
        <v>575</v>
      </c>
      <c r="D26" s="884"/>
      <c r="E26" s="882">
        <v>1.1000000000000001</v>
      </c>
      <c r="F26" s="885"/>
      <c r="G26" s="886"/>
      <c r="H26" s="878"/>
      <c r="I26" s="878"/>
    </row>
    <row r="27" spans="1:9" s="887" customFormat="1" ht="19.5" customHeight="1">
      <c r="A27" s="3290"/>
      <c r="B27" s="3290"/>
      <c r="C27" s="883" t="s">
        <v>576</v>
      </c>
      <c r="D27" s="884"/>
      <c r="E27" s="882">
        <v>0.9</v>
      </c>
      <c r="F27" s="885" t="s">
        <v>577</v>
      </c>
      <c r="G27" s="886"/>
      <c r="H27" s="878"/>
      <c r="I27" s="878"/>
    </row>
    <row r="28" spans="1:9" s="887" customFormat="1" ht="19.5" customHeight="1">
      <c r="A28" s="3290"/>
      <c r="B28" s="3290"/>
      <c r="C28" s="883" t="s">
        <v>578</v>
      </c>
      <c r="D28" s="884"/>
      <c r="E28" s="882">
        <v>0.9</v>
      </c>
      <c r="F28" s="885" t="s">
        <v>579</v>
      </c>
      <c r="G28" s="886"/>
      <c r="H28" s="878"/>
      <c r="I28" s="878"/>
    </row>
    <row r="29" spans="1:9" s="887" customFormat="1" ht="19.5" customHeight="1">
      <c r="A29" s="3290"/>
      <c r="B29" s="3290"/>
      <c r="C29" s="883" t="s">
        <v>580</v>
      </c>
      <c r="D29" s="884"/>
      <c r="E29" s="882">
        <v>0.9</v>
      </c>
      <c r="F29" s="885" t="s">
        <v>581</v>
      </c>
      <c r="G29" s="886"/>
      <c r="H29" s="878"/>
      <c r="I29" s="878"/>
    </row>
    <row r="30" spans="1:9" s="887" customFormat="1" ht="19.5" customHeight="1">
      <c r="A30" s="3290"/>
      <c r="B30" s="3290"/>
      <c r="C30" s="883" t="s">
        <v>582</v>
      </c>
      <c r="D30" s="884"/>
      <c r="E30" s="882">
        <v>0.9</v>
      </c>
      <c r="F30" s="885" t="s">
        <v>583</v>
      </c>
      <c r="G30" s="886"/>
      <c r="H30" s="878"/>
      <c r="I30" s="878"/>
    </row>
    <row r="31" spans="1:9" s="887" customFormat="1" ht="19.5" customHeight="1">
      <c r="A31" s="3290"/>
      <c r="B31" s="3290"/>
      <c r="C31" s="883" t="s">
        <v>584</v>
      </c>
      <c r="D31" s="884"/>
      <c r="E31" s="882">
        <v>0.8</v>
      </c>
      <c r="F31" s="885" t="s">
        <v>585</v>
      </c>
      <c r="G31" s="886"/>
      <c r="H31" s="878"/>
      <c r="I31" s="878"/>
    </row>
    <row r="32" spans="1:9" s="887" customFormat="1" ht="19.5" customHeight="1">
      <c r="A32" s="3290"/>
      <c r="B32" s="3290"/>
      <c r="C32" s="883" t="s">
        <v>586</v>
      </c>
      <c r="D32" s="884"/>
      <c r="E32" s="882">
        <v>0.8</v>
      </c>
      <c r="F32" s="885" t="s">
        <v>587</v>
      </c>
      <c r="G32" s="886"/>
      <c r="H32" s="878"/>
      <c r="I32" s="878"/>
    </row>
    <row r="33" spans="1:9" s="887" customFormat="1" ht="19.5" customHeight="1">
      <c r="A33" s="3290" t="s">
        <v>185</v>
      </c>
      <c r="B33" s="882" t="s">
        <v>560</v>
      </c>
      <c r="C33" s="883" t="s">
        <v>588</v>
      </c>
      <c r="D33" s="884"/>
      <c r="E33" s="882">
        <v>1</v>
      </c>
      <c r="F33" s="885" t="s">
        <v>589</v>
      </c>
      <c r="G33" s="886"/>
      <c r="H33" s="878"/>
      <c r="I33" s="878"/>
    </row>
    <row r="34" spans="1:9" s="887" customFormat="1" ht="19.5" customHeight="1">
      <c r="A34" s="3290"/>
      <c r="B34" s="882" t="s">
        <v>563</v>
      </c>
      <c r="C34" s="883" t="s">
        <v>590</v>
      </c>
      <c r="D34" s="884"/>
      <c r="E34" s="882">
        <v>1.5</v>
      </c>
      <c r="F34" s="885" t="s">
        <v>591</v>
      </c>
      <c r="G34" s="886"/>
      <c r="H34" s="878"/>
      <c r="I34" s="878"/>
    </row>
    <row r="35" spans="1:9" s="887" customFormat="1" ht="19.5" customHeight="1">
      <c r="A35" s="3290" t="s">
        <v>186</v>
      </c>
      <c r="B35" s="882" t="s">
        <v>560</v>
      </c>
      <c r="C35" s="883" t="s">
        <v>592</v>
      </c>
      <c r="D35" s="884"/>
      <c r="E35" s="882">
        <v>1</v>
      </c>
      <c r="F35" s="885" t="s">
        <v>593</v>
      </c>
      <c r="G35" s="886"/>
      <c r="H35" s="878"/>
      <c r="I35" s="878"/>
    </row>
    <row r="36" spans="1:9" s="887" customFormat="1" ht="19.5" customHeight="1">
      <c r="A36" s="3290"/>
      <c r="B36" s="3290" t="s">
        <v>563</v>
      </c>
      <c r="C36" s="883" t="s">
        <v>594</v>
      </c>
      <c r="D36" s="884"/>
      <c r="E36" s="882">
        <v>1</v>
      </c>
      <c r="F36" s="885" t="s">
        <v>595</v>
      </c>
      <c r="G36" s="886"/>
      <c r="H36" s="878"/>
      <c r="I36" s="878"/>
    </row>
    <row r="37" spans="1:9" s="887" customFormat="1" ht="19.5" customHeight="1">
      <c r="A37" s="3290"/>
      <c r="B37" s="3290"/>
      <c r="C37" s="883" t="s">
        <v>596</v>
      </c>
      <c r="D37" s="884"/>
      <c r="E37" s="882">
        <v>1.5</v>
      </c>
      <c r="F37" s="885" t="s">
        <v>597</v>
      </c>
      <c r="G37" s="886"/>
      <c r="H37" s="878"/>
      <c r="I37" s="878"/>
    </row>
    <row r="38" spans="1:9" s="887" customFormat="1" ht="19.5" customHeight="1">
      <c r="A38" s="3290"/>
      <c r="B38" s="3290"/>
      <c r="C38" s="883" t="s">
        <v>598</v>
      </c>
      <c r="D38" s="884"/>
      <c r="E38" s="882">
        <v>1</v>
      </c>
      <c r="F38" s="885" t="s">
        <v>599</v>
      </c>
      <c r="G38" s="886"/>
      <c r="H38" s="878"/>
      <c r="I38" s="878"/>
    </row>
    <row r="39" spans="1:9" s="887" customFormat="1" ht="19.5" customHeight="1">
      <c r="A39" s="3290"/>
      <c r="B39" s="329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
      <c r="A60" s="940"/>
      <c r="B60" s="940"/>
      <c r="C60" s="940" t="s">
        <v>745</v>
      </c>
      <c r="D60" s="940"/>
      <c r="E60" s="895" t="s">
        <v>1</v>
      </c>
      <c r="F60" s="940" t="s">
        <v>1</v>
      </c>
    </row>
    <row r="61" spans="1:8" s="878" customFormat="1" ht="26">
      <c r="A61" s="882">
        <v>1</v>
      </c>
      <c r="B61" s="3290" t="s">
        <v>614</v>
      </c>
      <c r="C61" s="818" t="s">
        <v>615</v>
      </c>
      <c r="D61" s="818" t="s">
        <v>616</v>
      </c>
      <c r="E61" s="895">
        <v>0.5</v>
      </c>
      <c r="F61" s="882">
        <v>80</v>
      </c>
    </row>
    <row r="62" spans="1:8" s="878" customFormat="1" ht="26">
      <c r="A62" s="882">
        <v>2</v>
      </c>
      <c r="B62" s="3290"/>
      <c r="C62" s="818" t="s">
        <v>617</v>
      </c>
      <c r="D62" s="818" t="s">
        <v>618</v>
      </c>
      <c r="E62" s="895">
        <v>0.5</v>
      </c>
      <c r="F62" s="882">
        <v>80</v>
      </c>
    </row>
    <row r="63" spans="1:8" s="878" customFormat="1" ht="39">
      <c r="A63" s="882">
        <v>3</v>
      </c>
      <c r="B63" s="3290"/>
      <c r="C63" s="818" t="s">
        <v>619</v>
      </c>
      <c r="D63" s="818" t="s">
        <v>620</v>
      </c>
      <c r="E63" s="895">
        <v>0.5</v>
      </c>
      <c r="F63" s="882">
        <v>80</v>
      </c>
    </row>
    <row r="64" spans="1:8" s="878" customFormat="1" ht="39">
      <c r="A64" s="882">
        <v>4</v>
      </c>
      <c r="B64" s="3290"/>
      <c r="C64" s="818" t="s">
        <v>621</v>
      </c>
      <c r="D64" s="818" t="s">
        <v>622</v>
      </c>
      <c r="E64" s="895">
        <v>0.4</v>
      </c>
      <c r="F64" s="882">
        <v>60</v>
      </c>
    </row>
    <row r="65" spans="1:6" s="878" customFormat="1" ht="39">
      <c r="A65" s="882">
        <v>5</v>
      </c>
      <c r="B65" s="3290"/>
      <c r="C65" s="818" t="s">
        <v>623</v>
      </c>
      <c r="D65" s="818" t="s">
        <v>624</v>
      </c>
      <c r="E65" s="895">
        <v>0.2</v>
      </c>
      <c r="F65" s="882">
        <v>30</v>
      </c>
    </row>
    <row r="66" spans="1:6" s="878" customFormat="1" ht="39">
      <c r="A66" s="882">
        <v>6</v>
      </c>
      <c r="B66" s="3290"/>
      <c r="C66" s="818" t="s">
        <v>625</v>
      </c>
      <c r="D66" s="818" t="s">
        <v>626</v>
      </c>
      <c r="E66" s="895">
        <v>0.3</v>
      </c>
      <c r="F66" s="882">
        <v>50</v>
      </c>
    </row>
    <row r="67" spans="1:6" s="878" customFormat="1" ht="39">
      <c r="A67" s="882">
        <v>7</v>
      </c>
      <c r="B67" s="3290"/>
      <c r="C67" s="818" t="s">
        <v>627</v>
      </c>
      <c r="D67" s="818" t="s">
        <v>628</v>
      </c>
      <c r="E67" s="895">
        <v>0.2</v>
      </c>
      <c r="F67" s="882">
        <v>30</v>
      </c>
    </row>
    <row r="68" spans="1:6" s="878" customFormat="1" ht="39">
      <c r="A68" s="882">
        <v>8</v>
      </c>
      <c r="B68" s="3290"/>
      <c r="C68" s="818" t="s">
        <v>629</v>
      </c>
      <c r="D68" s="818" t="s">
        <v>630</v>
      </c>
      <c r="E68" s="895">
        <v>0.2</v>
      </c>
      <c r="F68" s="882">
        <v>30</v>
      </c>
    </row>
    <row r="69" spans="1:6" s="878" customFormat="1" ht="39">
      <c r="A69" s="882">
        <v>9</v>
      </c>
      <c r="B69" s="3290"/>
      <c r="C69" s="818" t="s">
        <v>631</v>
      </c>
      <c r="D69" s="818" t="s">
        <v>632</v>
      </c>
      <c r="E69" s="895">
        <v>0.2</v>
      </c>
      <c r="F69" s="882">
        <v>30</v>
      </c>
    </row>
    <row r="70" spans="1:6" s="878" customFormat="1" ht="52">
      <c r="A70" s="882">
        <v>10</v>
      </c>
      <c r="B70" s="3290"/>
      <c r="C70" s="818" t="s">
        <v>633</v>
      </c>
      <c r="D70" s="818" t="s">
        <v>634</v>
      </c>
      <c r="E70" s="895">
        <v>0.2</v>
      </c>
      <c r="F70" s="882">
        <v>30</v>
      </c>
    </row>
    <row r="71" spans="1:6" s="878" customFormat="1" ht="52">
      <c r="A71" s="882">
        <v>11</v>
      </c>
      <c r="B71" s="3290"/>
      <c r="C71" s="818" t="s">
        <v>635</v>
      </c>
      <c r="D71" s="818" t="s">
        <v>636</v>
      </c>
      <c r="E71" s="895">
        <v>0.2</v>
      </c>
      <c r="F71" s="882">
        <v>30</v>
      </c>
    </row>
    <row r="72" spans="1:6" s="878" customFormat="1" ht="39">
      <c r="A72" s="882">
        <v>12</v>
      </c>
      <c r="B72" s="3290"/>
      <c r="C72" s="818" t="s">
        <v>637</v>
      </c>
      <c r="D72" s="818" t="s">
        <v>638</v>
      </c>
      <c r="E72" s="895">
        <v>0.5</v>
      </c>
      <c r="F72" s="882">
        <v>80</v>
      </c>
    </row>
    <row r="73" spans="1:6" s="878" customFormat="1" ht="26">
      <c r="A73" s="882">
        <v>13</v>
      </c>
      <c r="B73" s="3290"/>
      <c r="C73" s="818" t="s">
        <v>639</v>
      </c>
      <c r="D73" s="818" t="s">
        <v>640</v>
      </c>
      <c r="E73" s="895">
        <v>0.4</v>
      </c>
      <c r="F73" s="882">
        <v>60</v>
      </c>
    </row>
    <row r="74" spans="1:6" s="878" customFormat="1" ht="26">
      <c r="A74" s="882">
        <v>14</v>
      </c>
      <c r="B74" s="3290"/>
      <c r="C74" s="818" t="s">
        <v>641</v>
      </c>
      <c r="D74" s="818" t="s">
        <v>642</v>
      </c>
      <c r="E74" s="895">
        <v>0.2</v>
      </c>
      <c r="F74" s="882">
        <v>30</v>
      </c>
    </row>
    <row r="75" spans="1:6" s="878" customFormat="1" ht="26">
      <c r="A75" s="882">
        <v>15</v>
      </c>
      <c r="B75" s="3290"/>
      <c r="C75" s="818" t="s">
        <v>643</v>
      </c>
      <c r="D75" s="818" t="s">
        <v>644</v>
      </c>
      <c r="E75" s="895">
        <v>0.2</v>
      </c>
      <c r="F75" s="882">
        <v>30</v>
      </c>
    </row>
    <row r="76" spans="1:6" s="878" customFormat="1" ht="26">
      <c r="A76" s="882">
        <v>16</v>
      </c>
      <c r="B76" s="3290" t="s">
        <v>645</v>
      </c>
      <c r="C76" s="818" t="s">
        <v>646</v>
      </c>
      <c r="D76" s="818" t="s">
        <v>647</v>
      </c>
      <c r="E76" s="895">
        <v>0.5</v>
      </c>
      <c r="F76" s="882">
        <v>80</v>
      </c>
    </row>
    <row r="77" spans="1:6" s="878" customFormat="1" ht="26">
      <c r="A77" s="882">
        <v>17</v>
      </c>
      <c r="B77" s="3290"/>
      <c r="C77" s="818" t="s">
        <v>648</v>
      </c>
      <c r="D77" s="818" t="s">
        <v>649</v>
      </c>
      <c r="E77" s="895">
        <v>0.5</v>
      </c>
      <c r="F77" s="882">
        <v>80</v>
      </c>
    </row>
    <row r="78" spans="1:6" s="878" customFormat="1" ht="26">
      <c r="A78" s="882">
        <v>18</v>
      </c>
      <c r="B78" s="3290"/>
      <c r="C78" s="818" t="s">
        <v>650</v>
      </c>
      <c r="D78" s="818" t="s">
        <v>651</v>
      </c>
      <c r="E78" s="895">
        <v>0.2</v>
      </c>
      <c r="F78" s="882">
        <v>30</v>
      </c>
    </row>
    <row r="79" spans="1:6" s="878" customFormat="1" ht="26">
      <c r="A79" s="882">
        <v>19</v>
      </c>
      <c r="B79" s="3290"/>
      <c r="C79" s="818" t="s">
        <v>652</v>
      </c>
      <c r="D79" s="818" t="s">
        <v>653</v>
      </c>
      <c r="E79" s="895">
        <v>0.5</v>
      </c>
      <c r="F79" s="882">
        <v>80</v>
      </c>
    </row>
    <row r="80" spans="1:6" s="878" customFormat="1" ht="39">
      <c r="A80" s="882">
        <v>20</v>
      </c>
      <c r="B80" s="3290"/>
      <c r="C80" s="818" t="s">
        <v>654</v>
      </c>
      <c r="D80" s="818" t="s">
        <v>655</v>
      </c>
      <c r="E80" s="895">
        <v>0.2</v>
      </c>
      <c r="F80" s="882">
        <v>30</v>
      </c>
    </row>
    <row r="81" spans="1:6" s="878" customFormat="1" ht="39">
      <c r="A81" s="882">
        <v>21</v>
      </c>
      <c r="B81" s="3290"/>
      <c r="C81" s="818" t="s">
        <v>656</v>
      </c>
      <c r="D81" s="818" t="s">
        <v>657</v>
      </c>
      <c r="E81" s="895">
        <v>0.2</v>
      </c>
      <c r="F81" s="882">
        <v>30</v>
      </c>
    </row>
    <row r="82" spans="1:6" s="878" customFormat="1" ht="52">
      <c r="A82" s="882">
        <v>22</v>
      </c>
      <c r="B82" s="3290"/>
      <c r="C82" s="818" t="s">
        <v>658</v>
      </c>
      <c r="D82" s="818" t="s">
        <v>659</v>
      </c>
      <c r="E82" s="895">
        <v>0.2</v>
      </c>
      <c r="F82" s="882">
        <v>30</v>
      </c>
    </row>
    <row r="83" spans="1:6" s="878" customFormat="1" ht="52">
      <c r="A83" s="882">
        <v>23</v>
      </c>
      <c r="B83" s="3290"/>
      <c r="C83" s="818" t="s">
        <v>660</v>
      </c>
      <c r="D83" s="818" t="s">
        <v>661</v>
      </c>
      <c r="E83" s="895">
        <v>0.2</v>
      </c>
      <c r="F83" s="882">
        <v>30</v>
      </c>
    </row>
    <row r="84" spans="1:6" s="878" customFormat="1" ht="39">
      <c r="A84" s="882">
        <v>24</v>
      </c>
      <c r="B84" s="3290"/>
      <c r="C84" s="818" t="s">
        <v>662</v>
      </c>
      <c r="D84" s="818" t="s">
        <v>663</v>
      </c>
      <c r="E84" s="895">
        <v>0.2</v>
      </c>
      <c r="F84" s="882">
        <v>30</v>
      </c>
    </row>
    <row r="85" spans="1:6" s="878" customFormat="1" ht="39">
      <c r="A85" s="882">
        <v>25</v>
      </c>
      <c r="B85" s="3290"/>
      <c r="C85" s="818" t="s">
        <v>664</v>
      </c>
      <c r="D85" s="818" t="s">
        <v>665</v>
      </c>
      <c r="E85" s="895">
        <v>0.5</v>
      </c>
      <c r="F85" s="882">
        <v>80</v>
      </c>
    </row>
    <row r="86" spans="1:6" s="878" customFormat="1" ht="39">
      <c r="A86" s="882">
        <v>26</v>
      </c>
      <c r="B86" s="3290"/>
      <c r="C86" s="818" t="s">
        <v>666</v>
      </c>
      <c r="D86" s="818" t="s">
        <v>667</v>
      </c>
      <c r="E86" s="895">
        <v>0.2</v>
      </c>
      <c r="F86" s="882">
        <v>30</v>
      </c>
    </row>
    <row r="87" spans="1:6" s="878" customFormat="1" ht="39">
      <c r="A87" s="882">
        <v>27</v>
      </c>
      <c r="B87" s="3290"/>
      <c r="C87" s="818" t="s">
        <v>668</v>
      </c>
      <c r="D87" s="818" t="s">
        <v>669</v>
      </c>
      <c r="E87" s="895">
        <v>0.2</v>
      </c>
      <c r="F87" s="882">
        <v>30</v>
      </c>
    </row>
    <row r="88" spans="1:6" s="878" customFormat="1" ht="39">
      <c r="A88" s="882">
        <v>28</v>
      </c>
      <c r="B88" s="3290"/>
      <c r="C88" s="818" t="s">
        <v>670</v>
      </c>
      <c r="D88" s="818" t="s">
        <v>671</v>
      </c>
      <c r="E88" s="895">
        <v>0.2</v>
      </c>
      <c r="F88" s="882">
        <v>30</v>
      </c>
    </row>
    <row r="89" spans="1:6" s="878" customFormat="1" ht="26">
      <c r="A89" s="882">
        <v>29</v>
      </c>
      <c r="B89" s="3290"/>
      <c r="C89" s="818" t="s">
        <v>672</v>
      </c>
      <c r="D89" s="818" t="s">
        <v>673</v>
      </c>
      <c r="E89" s="895">
        <v>0.2</v>
      </c>
      <c r="F89" s="882">
        <v>30</v>
      </c>
    </row>
    <row r="90" spans="1:6" s="878" customFormat="1" ht="26">
      <c r="A90" s="882">
        <v>30</v>
      </c>
      <c r="B90" s="3290"/>
      <c r="C90" s="818" t="s">
        <v>674</v>
      </c>
      <c r="D90" s="818" t="s">
        <v>675</v>
      </c>
      <c r="E90" s="895">
        <v>0.2</v>
      </c>
      <c r="F90" s="882">
        <v>30</v>
      </c>
    </row>
    <row r="91" spans="1:6" s="878" customFormat="1" ht="39">
      <c r="A91" s="882">
        <v>31</v>
      </c>
      <c r="B91" s="3290"/>
      <c r="C91" s="818" t="s">
        <v>676</v>
      </c>
      <c r="D91" s="818" t="s">
        <v>677</v>
      </c>
      <c r="E91" s="895">
        <v>0.2</v>
      </c>
      <c r="F91" s="882">
        <v>30</v>
      </c>
    </row>
    <row r="92" spans="1:6" s="878" customFormat="1" ht="26">
      <c r="A92" s="882">
        <v>32</v>
      </c>
      <c r="B92" s="3290" t="s">
        <v>678</v>
      </c>
      <c r="C92" s="882" t="s">
        <v>679</v>
      </c>
      <c r="D92" s="818" t="s">
        <v>680</v>
      </c>
      <c r="E92" s="895">
        <v>0.2</v>
      </c>
      <c r="F92" s="882">
        <v>30</v>
      </c>
    </row>
    <row r="93" spans="1:6" s="878" customFormat="1" ht="39">
      <c r="A93" s="882">
        <v>33</v>
      </c>
      <c r="B93" s="3290"/>
      <c r="C93" s="882" t="s">
        <v>681</v>
      </c>
      <c r="D93" s="818" t="s">
        <v>682</v>
      </c>
      <c r="E93" s="895">
        <v>0.2</v>
      </c>
      <c r="F93" s="882">
        <v>30</v>
      </c>
    </row>
    <row r="94" spans="1:6" s="878" customFormat="1" ht="52">
      <c r="A94" s="882">
        <v>34</v>
      </c>
      <c r="B94" s="3290"/>
      <c r="C94" s="882" t="s">
        <v>683</v>
      </c>
      <c r="D94" s="818" t="s">
        <v>684</v>
      </c>
      <c r="E94" s="895">
        <v>0.2</v>
      </c>
      <c r="F94" s="882">
        <v>30</v>
      </c>
    </row>
    <row r="95" spans="1:6" s="878" customFormat="1" ht="39">
      <c r="A95" s="882">
        <v>35</v>
      </c>
      <c r="B95" s="3290"/>
      <c r="C95" s="882" t="s">
        <v>685</v>
      </c>
      <c r="D95" s="818" t="s">
        <v>686</v>
      </c>
      <c r="E95" s="895">
        <v>0.2</v>
      </c>
      <c r="F95" s="882">
        <v>30</v>
      </c>
    </row>
    <row r="96" spans="1:6" s="878" customFormat="1" ht="52">
      <c r="A96" s="882">
        <v>36</v>
      </c>
      <c r="B96" s="3290"/>
      <c r="C96" s="818" t="s">
        <v>687</v>
      </c>
      <c r="D96" s="818" t="s">
        <v>688</v>
      </c>
      <c r="E96" s="895">
        <v>0.2</v>
      </c>
      <c r="F96" s="882">
        <v>30</v>
      </c>
    </row>
    <row r="97" spans="1:6" s="878" customFormat="1" ht="39">
      <c r="A97" s="882">
        <v>37</v>
      </c>
      <c r="B97" s="3290"/>
      <c r="C97" s="882" t="s">
        <v>689</v>
      </c>
      <c r="D97" s="818" t="s">
        <v>690</v>
      </c>
      <c r="E97" s="895">
        <v>0.2</v>
      </c>
      <c r="F97" s="882">
        <v>30</v>
      </c>
    </row>
    <row r="98" spans="1:6" s="878" customFormat="1" ht="39">
      <c r="A98" s="882">
        <v>38</v>
      </c>
      <c r="B98" s="3290"/>
      <c r="C98" s="882" t="s">
        <v>691</v>
      </c>
      <c r="D98" s="818" t="s">
        <v>692</v>
      </c>
      <c r="E98" s="895">
        <v>0.2</v>
      </c>
      <c r="F98" s="882">
        <v>30</v>
      </c>
    </row>
    <row r="99" spans="1:6" s="878" customFormat="1" ht="39">
      <c r="A99" s="882">
        <v>39</v>
      </c>
      <c r="B99" s="3290" t="s">
        <v>693</v>
      </c>
      <c r="C99" s="882" t="s">
        <v>694</v>
      </c>
      <c r="D99" s="818" t="s">
        <v>695</v>
      </c>
      <c r="E99" s="895">
        <v>0.3</v>
      </c>
      <c r="F99" s="882">
        <v>50</v>
      </c>
    </row>
    <row r="100" spans="1:6" s="878" customFormat="1" ht="26">
      <c r="A100" s="882">
        <v>40</v>
      </c>
      <c r="B100" s="3290"/>
      <c r="C100" s="882" t="s">
        <v>696</v>
      </c>
      <c r="D100" s="818" t="s">
        <v>697</v>
      </c>
      <c r="E100" s="895">
        <v>0.2</v>
      </c>
      <c r="F100" s="882">
        <v>30</v>
      </c>
    </row>
    <row r="101" spans="1:6" s="878" customFormat="1" ht="39">
      <c r="A101" s="882">
        <v>41</v>
      </c>
      <c r="B101" s="3290"/>
      <c r="C101" s="882" t="s">
        <v>698</v>
      </c>
      <c r="D101" s="818" t="s">
        <v>695</v>
      </c>
      <c r="E101" s="895">
        <v>0.2</v>
      </c>
      <c r="F101" s="882">
        <v>30</v>
      </c>
    </row>
    <row r="102" spans="1:6" s="878" customFormat="1" ht="52">
      <c r="A102" s="882">
        <v>42</v>
      </c>
      <c r="B102" s="882" t="s">
        <v>699</v>
      </c>
      <c r="C102" s="818" t="s">
        <v>700</v>
      </c>
      <c r="D102" s="818" t="s">
        <v>701</v>
      </c>
      <c r="E102" s="895">
        <v>0.2</v>
      </c>
      <c r="F102" s="882">
        <v>30</v>
      </c>
    </row>
    <row r="103" spans="1:6" s="878" customFormat="1" ht="26">
      <c r="A103" s="882">
        <v>43</v>
      </c>
      <c r="B103" s="882" t="s">
        <v>702</v>
      </c>
      <c r="C103" s="882" t="s">
        <v>703</v>
      </c>
      <c r="D103" s="818" t="s">
        <v>704</v>
      </c>
      <c r="E103" s="895">
        <v>0.2</v>
      </c>
      <c r="F103" s="882">
        <v>30</v>
      </c>
    </row>
    <row r="104" spans="1:6" s="878" customFormat="1" ht="39">
      <c r="A104" s="882">
        <v>44</v>
      </c>
      <c r="B104" s="882" t="s">
        <v>705</v>
      </c>
      <c r="C104" s="882" t="s">
        <v>706</v>
      </c>
      <c r="D104" s="818" t="s">
        <v>707</v>
      </c>
      <c r="E104" s="895">
        <v>0.2</v>
      </c>
      <c r="F104" s="882">
        <v>30</v>
      </c>
    </row>
    <row r="105" spans="1:6" s="878" customFormat="1" ht="39">
      <c r="A105" s="882">
        <v>45</v>
      </c>
      <c r="B105" s="3290" t="s">
        <v>708</v>
      </c>
      <c r="C105" s="882" t="s">
        <v>709</v>
      </c>
      <c r="D105" s="818" t="s">
        <v>710</v>
      </c>
      <c r="E105" s="895">
        <v>0.2</v>
      </c>
      <c r="F105" s="882">
        <v>30</v>
      </c>
    </row>
    <row r="106" spans="1:6" s="878" customFormat="1" ht="39">
      <c r="A106" s="882">
        <v>46</v>
      </c>
      <c r="B106" s="3290"/>
      <c r="C106" s="882" t="s">
        <v>711</v>
      </c>
      <c r="D106" s="818" t="s">
        <v>712</v>
      </c>
      <c r="E106" s="895">
        <v>0.2</v>
      </c>
      <c r="F106" s="882">
        <v>30</v>
      </c>
    </row>
    <row r="107" spans="1:6" s="878" customFormat="1" ht="39">
      <c r="A107" s="882">
        <v>47</v>
      </c>
      <c r="B107" s="3290" t="s">
        <v>713</v>
      </c>
      <c r="C107" s="882" t="s">
        <v>714</v>
      </c>
      <c r="D107" s="818" t="s">
        <v>715</v>
      </c>
      <c r="E107" s="895">
        <v>0.3</v>
      </c>
      <c r="F107" s="882">
        <v>50</v>
      </c>
    </row>
    <row r="108" spans="1:6" s="878" customFormat="1" ht="39">
      <c r="A108" s="882">
        <v>48</v>
      </c>
      <c r="B108" s="3290"/>
      <c r="C108" s="882" t="s">
        <v>716</v>
      </c>
      <c r="D108" s="818" t="s">
        <v>717</v>
      </c>
      <c r="E108" s="895">
        <v>0.2</v>
      </c>
      <c r="F108" s="882">
        <v>30</v>
      </c>
    </row>
    <row r="109" spans="1:6" s="878" customFormat="1" ht="39">
      <c r="A109" s="882">
        <v>49</v>
      </c>
      <c r="B109" s="882" t="s">
        <v>718</v>
      </c>
      <c r="C109" s="882" t="s">
        <v>719</v>
      </c>
      <c r="D109" s="818" t="s">
        <v>720</v>
      </c>
      <c r="E109" s="895">
        <v>0.2</v>
      </c>
      <c r="F109" s="882">
        <v>30</v>
      </c>
    </row>
    <row r="110" spans="1:6" s="878" customFormat="1" ht="39">
      <c r="A110" s="882">
        <v>50</v>
      </c>
      <c r="B110" s="882" t="s">
        <v>721</v>
      </c>
      <c r="C110" s="882" t="s">
        <v>722</v>
      </c>
      <c r="D110" s="818" t="s">
        <v>723</v>
      </c>
      <c r="E110" s="895">
        <v>0.2</v>
      </c>
      <c r="F110" s="882">
        <v>30</v>
      </c>
    </row>
    <row r="111" spans="1:6" s="878" customFormat="1" ht="39">
      <c r="A111" s="882">
        <v>51</v>
      </c>
      <c r="B111" s="3290" t="s">
        <v>724</v>
      </c>
      <c r="C111" s="882" t="s">
        <v>725</v>
      </c>
      <c r="D111" s="818" t="s">
        <v>726</v>
      </c>
      <c r="E111" s="895">
        <v>0.2</v>
      </c>
      <c r="F111" s="882">
        <v>30</v>
      </c>
    </row>
    <row r="112" spans="1:6" s="878" customFormat="1" ht="26">
      <c r="A112" s="882">
        <v>52</v>
      </c>
      <c r="B112" s="3290"/>
      <c r="C112" s="882" t="s">
        <v>727</v>
      </c>
      <c r="D112" s="818" t="s">
        <v>728</v>
      </c>
      <c r="E112" s="895">
        <v>0.2</v>
      </c>
      <c r="F112" s="882">
        <v>30</v>
      </c>
    </row>
    <row r="113" spans="1:6" s="878" customFormat="1" ht="26">
      <c r="A113" s="882">
        <v>53</v>
      </c>
      <c r="B113" s="3290"/>
      <c r="C113" s="882" t="s">
        <v>729</v>
      </c>
      <c r="D113" s="818" t="s">
        <v>730</v>
      </c>
      <c r="E113" s="895">
        <v>0.2</v>
      </c>
      <c r="F113" s="882">
        <v>30</v>
      </c>
    </row>
    <row r="114" spans="1:6" ht="39">
      <c r="A114" s="882">
        <v>54</v>
      </c>
      <c r="B114" s="882" t="s">
        <v>731</v>
      </c>
      <c r="C114" s="882" t="s">
        <v>732</v>
      </c>
      <c r="D114" s="818" t="s">
        <v>733</v>
      </c>
      <c r="E114" s="895">
        <v>0.2</v>
      </c>
      <c r="F114" s="882">
        <v>30</v>
      </c>
    </row>
    <row r="115" spans="1:6" ht="26">
      <c r="A115" s="882">
        <v>55</v>
      </c>
      <c r="B115" s="882" t="s">
        <v>734</v>
      </c>
      <c r="C115" s="882" t="s">
        <v>735</v>
      </c>
      <c r="D115" s="818" t="s">
        <v>736</v>
      </c>
      <c r="E115" s="895">
        <v>0.2</v>
      </c>
      <c r="F115" s="882">
        <v>30</v>
      </c>
    </row>
    <row r="116" spans="1:6" ht="26">
      <c r="A116" s="882">
        <v>56</v>
      </c>
      <c r="B116" s="3290" t="s">
        <v>737</v>
      </c>
      <c r="C116" s="882" t="s">
        <v>738</v>
      </c>
      <c r="D116" s="818" t="s">
        <v>739</v>
      </c>
      <c r="E116" s="895">
        <v>0.2</v>
      </c>
      <c r="F116" s="882">
        <v>30</v>
      </c>
    </row>
    <row r="117" spans="1:6" ht="39">
      <c r="A117" s="882">
        <v>57</v>
      </c>
      <c r="B117" s="3290"/>
      <c r="C117" s="882" t="s">
        <v>740</v>
      </c>
      <c r="D117" s="818" t="s">
        <v>741</v>
      </c>
      <c r="E117" s="895">
        <v>0.2</v>
      </c>
      <c r="F117" s="882">
        <v>30</v>
      </c>
    </row>
    <row r="118" spans="1:6" ht="39">
      <c r="A118" s="882">
        <v>58</v>
      </c>
      <c r="B118" s="882" t="s">
        <v>742</v>
      </c>
      <c r="C118" s="882" t="s">
        <v>743</v>
      </c>
      <c r="D118" s="818" t="s">
        <v>744</v>
      </c>
      <c r="E118" s="895">
        <v>0.2</v>
      </c>
      <c r="F118" s="882">
        <v>30</v>
      </c>
    </row>
    <row r="119" spans="1:6" ht="1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
  <cols>
    <col min="1" max="1" width="9" style="915"/>
    <col min="2" max="16384" width="9" style="898"/>
  </cols>
  <sheetData>
    <row r="1" spans="1:14" ht="1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
      <c r="A103" s="896" t="s">
        <v>748</v>
      </c>
      <c r="B103" s="897"/>
      <c r="C103" s="897"/>
      <c r="D103" s="897"/>
      <c r="E103" s="897"/>
      <c r="F103" s="897"/>
      <c r="G103" s="897"/>
      <c r="H103" s="897"/>
      <c r="I103" s="897"/>
      <c r="J103" s="897"/>
      <c r="K103" s="897"/>
      <c r="L103" s="897"/>
      <c r="M103" s="897"/>
      <c r="N103" s="897"/>
    </row>
    <row r="104" spans="1:14" ht="1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958" customWidth="1"/>
    <col min="2" max="2" width="37.1796875" style="1958" customWidth="1"/>
    <col min="3" max="3" width="11.36328125" style="1958" customWidth="1"/>
    <col min="4" max="4" width="31.81640625" style="1958" customWidth="1"/>
    <col min="5" max="5" width="0.453125" style="1958" customWidth="1"/>
    <col min="6" max="7" width="13" style="1958" customWidth="1"/>
    <col min="8" max="16384" width="9" style="1958"/>
  </cols>
  <sheetData>
    <row r="1" spans="1:5" ht="18">
      <c r="A1" s="1956" t="s">
        <v>1615</v>
      </c>
      <c r="B1" s="1957"/>
      <c r="C1" s="1957"/>
      <c r="D1" s="1957"/>
      <c r="E1" s="1957"/>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8.5" thickBot="1">
      <c r="A4" s="1959"/>
      <c r="B4" s="2984" t="s">
        <v>1624</v>
      </c>
      <c r="C4" s="2984"/>
      <c r="D4" s="2984"/>
      <c r="E4" s="1959"/>
    </row>
    <row r="5" spans="1:5" ht="16" thickTop="1">
      <c r="A5" s="1957"/>
      <c r="B5" s="2982" t="s">
        <v>1616</v>
      </c>
      <c r="C5" s="1960" t="s">
        <v>1617</v>
      </c>
      <c r="D5" s="1040">
        <f ca="1">结果表!H101</f>
        <v>182092</v>
      </c>
      <c r="E5" s="1957"/>
    </row>
    <row r="6" spans="1:5" ht="15.5">
      <c r="A6" s="1957"/>
      <c r="B6" s="2982"/>
      <c r="C6" s="1960" t="s">
        <v>1618</v>
      </c>
      <c r="D6" s="1040" t="str">
        <f ca="1">NUMBERSTRING(INT(D5*10000),2)&amp;"元整"</f>
        <v>壹拾捌亿贰仟零玖拾贰万元整</v>
      </c>
      <c r="E6" s="1957"/>
    </row>
    <row r="7" spans="1:5" ht="15.5">
      <c r="A7" s="1957"/>
      <c r="B7" s="2987"/>
      <c r="C7" s="1961" t="s">
        <v>1619</v>
      </c>
      <c r="D7" s="1041">
        <f ca="1">结果表!H102</f>
        <v>14288</v>
      </c>
      <c r="E7" s="1957"/>
    </row>
    <row r="8" spans="1:5" ht="15.5">
      <c r="A8" s="1957"/>
      <c r="B8" s="2988" t="str">
        <f>结果表!E103</f>
        <v>2.估价师知悉的法定优先受偿款</v>
      </c>
      <c r="C8" s="1962" t="s">
        <v>1620</v>
      </c>
      <c r="D8" s="1041">
        <f>结果表!H103</f>
        <v>0</v>
      </c>
      <c r="E8" s="1957"/>
    </row>
    <row r="9" spans="1:5" ht="15.5">
      <c r="A9" s="1957"/>
      <c r="B9" s="2990"/>
      <c r="C9" s="1960" t="s">
        <v>1618</v>
      </c>
      <c r="D9" s="1040" t="str">
        <f>NUMBERSTRING(INT(D8*10000),2)&amp;"元整"</f>
        <v>零元整</v>
      </c>
      <c r="E9" s="1957"/>
    </row>
    <row r="10" spans="1:5" ht="16">
      <c r="A10" s="1957"/>
      <c r="B10" s="1963" t="s">
        <v>1623</v>
      </c>
      <c r="C10" s="1964" t="s">
        <v>1621</v>
      </c>
      <c r="D10" s="1042">
        <f>结果表!H104</f>
        <v>0</v>
      </c>
      <c r="E10" s="1957"/>
    </row>
    <row r="11" spans="1:5" ht="16">
      <c r="A11" s="1957"/>
      <c r="B11" s="1963" t="s">
        <v>1625</v>
      </c>
      <c r="C11" s="1964" t="s">
        <v>1626</v>
      </c>
      <c r="D11" s="1042">
        <f>结果表!H105</f>
        <v>0</v>
      </c>
      <c r="E11" s="1957"/>
    </row>
    <row r="12" spans="1:5" ht="16">
      <c r="A12" s="1957"/>
      <c r="B12" s="1963" t="s">
        <v>1627</v>
      </c>
      <c r="C12" s="1964" t="s">
        <v>1626</v>
      </c>
      <c r="D12" s="1042">
        <f>结果表!H106</f>
        <v>0</v>
      </c>
      <c r="E12" s="1957"/>
    </row>
    <row r="13" spans="1:5" ht="15.5">
      <c r="A13" s="1957"/>
      <c r="B13" s="2981" t="str">
        <f>结果表!E107</f>
        <v>3.房地产抵押价值</v>
      </c>
      <c r="C13" s="1965" t="s">
        <v>1617</v>
      </c>
      <c r="D13" s="1043">
        <f ca="1">结果表!H107</f>
        <v>182092</v>
      </c>
      <c r="E13" s="1957"/>
    </row>
    <row r="14" spans="1:5" ht="15.5">
      <c r="A14" s="1957"/>
      <c r="B14" s="2982"/>
      <c r="C14" s="1960" t="s">
        <v>1618</v>
      </c>
      <c r="D14" s="1040" t="str">
        <f ca="1">NUMBERSTRING(INT(D13*10000),2)&amp;"元整"</f>
        <v>壹拾捌亿贰仟零玖拾贰万元整</v>
      </c>
      <c r="E14" s="1957"/>
    </row>
    <row r="15" spans="1:5" ht="15.5">
      <c r="A15" s="1957"/>
      <c r="B15" s="2987"/>
      <c r="C15" s="1961" t="s">
        <v>1628</v>
      </c>
      <c r="D15" s="1052">
        <f ca="1">结果表!H108</f>
        <v>14288</v>
      </c>
      <c r="E15" s="1957"/>
    </row>
    <row r="16" spans="1:5" ht="15">
      <c r="A16" s="1957"/>
      <c r="B16" s="2988" t="str">
        <f>结果表!E109</f>
        <v>——</v>
      </c>
      <c r="C16" s="1965" t="s">
        <v>1629</v>
      </c>
      <c r="D16" s="1966" t="str">
        <f>结果表!H109</f>
        <v>——</v>
      </c>
      <c r="E16" s="1957"/>
    </row>
    <row r="17" spans="1:5" ht="15.5">
      <c r="A17" s="1957"/>
      <c r="B17" s="2989"/>
      <c r="C17" s="1960" t="s">
        <v>1630</v>
      </c>
      <c r="D17" s="1040" t="e">
        <f>NUMBERSTRING(INT(D16*10000),2)&amp;"元整"</f>
        <v>#VALUE!</v>
      </c>
      <c r="E17" s="1957"/>
    </row>
    <row r="18" spans="1:5" ht="15.5">
      <c r="A18" s="1957"/>
      <c r="B18" s="2990"/>
      <c r="C18" s="1961" t="s">
        <v>1619</v>
      </c>
      <c r="D18" s="1052" t="str">
        <f>结果表!H110</f>
        <v>——</v>
      </c>
      <c r="E18" s="1957"/>
    </row>
    <row r="19" spans="1:5" ht="15.5">
      <c r="A19" s="1957"/>
      <c r="B19" s="2981" t="str">
        <f>结果表!E111</f>
        <v>4.抵押净值</v>
      </c>
      <c r="C19" s="1965" t="s">
        <v>1617</v>
      </c>
      <c r="D19" s="1041">
        <f ca="1">结果表!H111</f>
        <v>140820</v>
      </c>
      <c r="E19" s="1957"/>
    </row>
    <row r="20" spans="1:5" ht="15.5">
      <c r="A20" s="1957"/>
      <c r="B20" s="2982"/>
      <c r="C20" s="1960" t="s">
        <v>1630</v>
      </c>
      <c r="D20" s="1040" t="str">
        <f ca="1">NUMBERSTRING(INT(D19*10000),2)&amp;"元整"</f>
        <v>壹拾肆亿零捌佰贰拾万元整</v>
      </c>
      <c r="E20" s="1957"/>
    </row>
    <row r="21" spans="1:5" ht="16" thickBot="1">
      <c r="A21" s="1957"/>
      <c r="B21" s="2983"/>
      <c r="C21" s="1967" t="s">
        <v>1628</v>
      </c>
      <c r="D21" s="1053">
        <f ca="1">结果表!H112</f>
        <v>11050</v>
      </c>
      <c r="E21" s="1957"/>
    </row>
    <row r="22" spans="1:5" ht="14.5" thickTop="1">
      <c r="A22" s="1957"/>
      <c r="B22" s="1968" t="s">
        <v>1631</v>
      </c>
      <c r="C22" s="1957"/>
      <c r="D22" s="1957"/>
      <c r="E22" s="1957"/>
    </row>
    <row r="23" spans="1:5">
      <c r="A23" s="1957"/>
      <c r="B23" s="1957"/>
      <c r="C23" s="1957"/>
      <c r="D23" s="1957"/>
      <c r="E23" s="1957"/>
    </row>
    <row r="24" spans="1:5" ht="1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E13"/>
  <sheetViews>
    <sheetView workbookViewId="0">
      <selection activeCell="B3" sqref="B3"/>
    </sheetView>
  </sheetViews>
  <sheetFormatPr defaultColWidth="9" defaultRowHeight="14"/>
  <cols>
    <col min="1" max="1" width="23.36328125" style="1943" customWidth="1"/>
    <col min="2" max="2" width="12.453125" style="1943" customWidth="1"/>
    <col min="3" max="3" width="12.08984375" style="1943" customWidth="1"/>
    <col min="4" max="4" width="14.08984375" style="1943" customWidth="1"/>
    <col min="5" max="5" width="12.453125" style="1943" customWidth="1"/>
    <col min="6" max="16384" width="9" style="1943"/>
  </cols>
  <sheetData>
    <row r="1" spans="1:5" ht="21">
      <c r="A1" s="2561" t="s">
        <v>2997</v>
      </c>
    </row>
    <row r="2" spans="1:5" ht="15.5">
      <c r="A2" s="2902" t="s">
        <v>2989</v>
      </c>
      <c r="B2" s="2903" t="e">
        <f ca="1">SUMIF(B6:B13,"&lt;&gt;#ref!",B6:B13)</f>
        <v>#DIV/0!</v>
      </c>
      <c r="C2" s="2902" t="s">
        <v>2990</v>
      </c>
      <c r="D2" s="2902" t="s">
        <v>2991</v>
      </c>
      <c r="E2" s="2903">
        <f ca="1">SUMIF(E6:E13,"&lt;&gt;#ref!",E6:E13)</f>
        <v>0</v>
      </c>
    </row>
    <row r="3" spans="1:5" ht="15.5">
      <c r="A3" s="2902" t="s">
        <v>2992</v>
      </c>
      <c r="B3" s="2903" t="e">
        <f ca="1">ROUND(B2*10000/E2,0)</f>
        <v>#DIV/0!</v>
      </c>
      <c r="C3" s="2902" t="s">
        <v>2998</v>
      </c>
      <c r="D3" s="2904"/>
      <c r="E3" s="2904"/>
    </row>
    <row r="4" spans="1:5" ht="15.5">
      <c r="A4" s="2905"/>
      <c r="B4" s="2904"/>
      <c r="C4" s="2904"/>
      <c r="D4" s="2904"/>
      <c r="E4" s="2904"/>
    </row>
    <row r="5" spans="1:5" ht="30">
      <c r="A5" s="2906" t="s">
        <v>2993</v>
      </c>
      <c r="B5" s="2902" t="s">
        <v>2994</v>
      </c>
      <c r="C5" s="2903"/>
      <c r="D5" s="2904"/>
      <c r="E5" s="2902" t="s">
        <v>2995</v>
      </c>
    </row>
    <row r="6" spans="1:5" ht="15.5">
      <c r="A6" s="2907" t="s">
        <v>2996</v>
      </c>
      <c r="B6" s="2903" t="e">
        <f ca="1">SUMIF(INDIRECT("'"&amp;A6&amp;"'"&amp;"!A:A"),"总价",INDIRECT("'"&amp;A6&amp;"'"&amp;"!B:B"))</f>
        <v>#DIV/0!</v>
      </c>
      <c r="C6" s="2902" t="s">
        <v>2990</v>
      </c>
      <c r="D6" s="2904"/>
      <c r="E6" s="2575">
        <f ca="1">SUMIF(INDIRECT("'"&amp;A6&amp;"'"&amp;"!C:C"),"建筑面积",INDIRECT("'"&amp;A6&amp;"'"&amp;"!D:D"))</f>
        <v>0</v>
      </c>
    </row>
    <row r="7" spans="1:5" ht="15.5">
      <c r="A7" s="2907"/>
      <c r="B7" s="2903" t="e">
        <f ca="1">SUMIF(INDIRECT("'"&amp;A7&amp;"'"&amp;"!A:A"),"总价",INDIRECT("'"&amp;A7&amp;"'"&amp;"!B:B"))</f>
        <v>#REF!</v>
      </c>
      <c r="C7" s="2902" t="s">
        <v>2990</v>
      </c>
      <c r="D7" s="2904"/>
      <c r="E7" s="2575" t="e">
        <f t="shared" ref="E7:E13" ca="1" si="0">SUMIF(INDIRECT("'"&amp;A7&amp;"'"&amp;"!C:C"),"建筑面积",INDIRECT("'"&amp;A7&amp;"'"&amp;"!D:D"))</f>
        <v>#REF!</v>
      </c>
    </row>
    <row r="8" spans="1:5" ht="15.5">
      <c r="A8" s="2907"/>
      <c r="B8" s="2903" t="e">
        <f t="shared" ref="B8:B13" ca="1" si="1">SUMIF(INDIRECT("'"&amp;A8&amp;"'"&amp;"!A:A"),"总价",INDIRECT("'"&amp;A8&amp;"'"&amp;"!B:B"))</f>
        <v>#REF!</v>
      </c>
      <c r="C8" s="2902" t="s">
        <v>2990</v>
      </c>
      <c r="D8" s="2904"/>
      <c r="E8" s="2575" t="e">
        <f t="shared" ca="1" si="0"/>
        <v>#REF!</v>
      </c>
    </row>
    <row r="9" spans="1:5" ht="15.5">
      <c r="A9" s="2907"/>
      <c r="B9" s="2903" t="e">
        <f t="shared" ca="1" si="1"/>
        <v>#REF!</v>
      </c>
      <c r="C9" s="2902" t="s">
        <v>2990</v>
      </c>
      <c r="D9" s="2904"/>
      <c r="E9" s="2575" t="e">
        <f t="shared" ca="1" si="0"/>
        <v>#REF!</v>
      </c>
    </row>
    <row r="10" spans="1:5" ht="15.5">
      <c r="A10" s="2907"/>
      <c r="B10" s="2903" t="e">
        <f t="shared" ca="1" si="1"/>
        <v>#REF!</v>
      </c>
      <c r="C10" s="2902" t="s">
        <v>2990</v>
      </c>
      <c r="D10" s="2904"/>
      <c r="E10" s="2575" t="e">
        <f t="shared" ca="1" si="0"/>
        <v>#REF!</v>
      </c>
    </row>
    <row r="11" spans="1:5" ht="15.5">
      <c r="A11" s="2907"/>
      <c r="B11" s="2903" t="e">
        <f t="shared" ca="1" si="1"/>
        <v>#REF!</v>
      </c>
      <c r="C11" s="2902" t="s">
        <v>2990</v>
      </c>
      <c r="D11" s="2904"/>
      <c r="E11" s="2575" t="e">
        <f t="shared" ca="1" si="0"/>
        <v>#REF!</v>
      </c>
    </row>
    <row r="12" spans="1:5" ht="15.5">
      <c r="A12" s="2907"/>
      <c r="B12" s="2903" t="e">
        <f t="shared" ca="1" si="1"/>
        <v>#REF!</v>
      </c>
      <c r="C12" s="2902" t="s">
        <v>2990</v>
      </c>
      <c r="D12" s="2904"/>
      <c r="E12" s="2575" t="e">
        <f t="shared" ca="1" si="0"/>
        <v>#REF!</v>
      </c>
    </row>
    <row r="13" spans="1:5" ht="15.5">
      <c r="A13" s="2907"/>
      <c r="B13" s="2903" t="e">
        <f t="shared" ca="1" si="1"/>
        <v>#REF!</v>
      </c>
      <c r="C13" s="2902" t="s">
        <v>2990</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2"/>
  <sheetViews>
    <sheetView zoomScale="80" zoomScaleNormal="80" workbookViewId="0">
      <selection activeCell="L7" sqref="L7"/>
    </sheetView>
  </sheetViews>
  <sheetFormatPr defaultColWidth="9" defaultRowHeight="12.5"/>
  <cols>
    <col min="1" max="1" width="9" style="1471"/>
    <col min="2" max="6" width="9" style="1471" customWidth="1"/>
    <col min="7" max="7" width="9" style="1486"/>
    <col min="8" max="8" width="9" style="1471"/>
    <col min="9" max="12" width="9" style="1471" customWidth="1"/>
    <col min="13" max="13" width="2.1796875" style="1471" customWidth="1"/>
    <col min="14" max="14" width="9" style="1486" customWidth="1"/>
    <col min="15" max="17" width="9" style="1471" customWidth="1"/>
    <col min="18" max="18" width="2.36328125" style="1471" customWidth="1"/>
    <col min="19" max="19" width="7.08984375" style="1486" customWidth="1"/>
    <col min="20" max="22" width="7.08984375" style="1471" customWidth="1"/>
    <col min="23" max="23" width="24.1796875" style="1471" customWidth="1"/>
    <col min="24" max="25" width="9" style="1471"/>
    <col min="26" max="27" width="11.6328125" style="1471" customWidth="1"/>
    <col min="28" max="28" width="9" style="1471"/>
    <col min="29" max="29" width="2" style="1471" customWidth="1"/>
    <col min="30" max="16384" width="9" style="1471"/>
  </cols>
  <sheetData>
    <row r="1" spans="1:34" s="1445" customFormat="1" ht="13">
      <c r="B1" s="3296" t="s">
        <v>1145</v>
      </c>
      <c r="C1" s="3296"/>
      <c r="D1" s="3296"/>
      <c r="E1" s="3296"/>
      <c r="F1" s="3296"/>
      <c r="G1" s="3295" t="s">
        <v>1146</v>
      </c>
      <c r="H1" s="3295"/>
      <c r="I1" s="3295"/>
      <c r="J1" s="3295"/>
      <c r="K1" s="3295"/>
      <c r="L1" s="3295"/>
      <c r="N1" s="3295" t="s">
        <v>1147</v>
      </c>
      <c r="O1" s="3295"/>
      <c r="P1" s="3295"/>
      <c r="Q1" s="3295"/>
      <c r="R1" s="1446"/>
      <c r="S1" s="3295" t="s">
        <v>1148</v>
      </c>
      <c r="T1" s="3295"/>
      <c r="U1" s="3295"/>
      <c r="V1" s="3295"/>
      <c r="X1" s="3294" t="s">
        <v>1149</v>
      </c>
      <c r="Y1" s="3295"/>
      <c r="Z1" s="3295"/>
      <c r="AA1" s="3295"/>
      <c r="AB1" s="3295"/>
      <c r="AD1" s="3294" t="s">
        <v>1150</v>
      </c>
      <c r="AE1" s="3295"/>
      <c r="AF1" s="3295"/>
      <c r="AG1" s="3295"/>
      <c r="AH1" s="3295"/>
    </row>
    <row r="2" spans="1:34" s="1447" customFormat="1" ht="14.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
      <c r="A3" s="2927" t="s">
        <v>3032</v>
      </c>
      <c r="B3" s="2919"/>
      <c r="C3" s="2919"/>
      <c r="D3" s="2920"/>
      <c r="E3" s="2920"/>
      <c r="F3" s="2919"/>
      <c r="G3" s="2921"/>
      <c r="H3" s="2922"/>
      <c r="I3" s="2923">
        <f>ROUND(AVERAGE($I4:$I29),2)</f>
        <v>1.92</v>
      </c>
      <c r="J3" s="2923">
        <f>ROUND(AVERAGE($J4:$J29),2)</f>
        <v>1.34</v>
      </c>
      <c r="K3" s="2923">
        <f>ROUND(AVERAGE($K4:$K29),2)</f>
        <v>2.1</v>
      </c>
      <c r="L3" s="2923">
        <f>ROUND(AVERAGE($L4:$L29),2)</f>
        <v>1.35</v>
      </c>
      <c r="N3" s="2921"/>
      <c r="O3" s="2924"/>
      <c r="P3" s="2924"/>
      <c r="Q3" s="2924"/>
      <c r="R3" s="2924"/>
      <c r="S3" s="2921"/>
      <c r="T3" s="2924"/>
      <c r="U3" s="2924"/>
      <c r="V3" s="2924"/>
      <c r="W3" s="2916"/>
      <c r="X3" s="2925">
        <f>ROUND(SUMPRODUCT(PRODUCT(1+N3:N$28)),4)</f>
        <v>1.5586</v>
      </c>
      <c r="Y3" s="2925">
        <f>ROUND(SUMPRODUCT(PRODUCT(1+O3:O$28)),4)</f>
        <v>1.3633</v>
      </c>
      <c r="Z3" s="2925">
        <f t="shared" ref="Z3:Z26" si="0">Y3</f>
        <v>1.3633</v>
      </c>
      <c r="AA3" s="2925">
        <f>ROUND(SUMPRODUCT(PRODUCT(1+P3:P$28)),4)</f>
        <v>1.6221000000000001</v>
      </c>
      <c r="AB3" s="2925">
        <f>ROUND(SUMPRODUCT(PRODUCT(1+Q3:Q$28)),4)</f>
        <v>1.3777999999999999</v>
      </c>
      <c r="AD3" s="2926">
        <f>ROUND(AVERAGE(I3:I$29)/100,4)</f>
        <v>1.9199999999999998E-2</v>
      </c>
      <c r="AE3" s="2926">
        <f>ROUND(AVERAGE(J3:J$29)/100,4)</f>
        <v>1.34E-2</v>
      </c>
      <c r="AF3" s="2926">
        <f t="shared" ref="AF3:AF27" si="1">AE3</f>
        <v>1.34E-2</v>
      </c>
      <c r="AG3" s="2926">
        <f>ROUND(AVERAGE(K3:K$29)/100,4)</f>
        <v>2.1000000000000001E-2</v>
      </c>
      <c r="AH3" s="2926">
        <f>ROUND(AVERAGE(L3:L$29)/100,4)</f>
        <v>1.35E-2</v>
      </c>
    </row>
    <row r="4" spans="1:34" s="1453" customFormat="1" ht="14">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
      <c r="A5" s="1728" t="s">
        <v>3051</v>
      </c>
      <c r="B5" s="1790">
        <f t="shared" ref="B5:B13" si="2">B6*(1+N5)</f>
        <v>479.34737379023579</v>
      </c>
      <c r="C5" s="1790">
        <f t="shared" ref="C5:C13" si="3">C6*(1+O5)</f>
        <v>351.4265287986122</v>
      </c>
      <c r="D5" s="1790">
        <f t="shared" ref="D5:D18" si="4">C5</f>
        <v>351.4265287986122</v>
      </c>
      <c r="E5" s="1790">
        <f t="shared" ref="E5:E13" si="5">E6*(1+P5)</f>
        <v>685.98209703803116</v>
      </c>
      <c r="F5" s="1790">
        <f t="shared" ref="F5:F13" si="6">F6*(1+Q5)</f>
        <v>316.78315206651001</v>
      </c>
      <c r="G5" s="2952">
        <v>2020</v>
      </c>
      <c r="H5" s="1729">
        <v>1</v>
      </c>
      <c r="I5" s="2914">
        <v>0</v>
      </c>
      <c r="J5" s="2914">
        <v>0</v>
      </c>
      <c r="K5" s="2914">
        <v>0</v>
      </c>
      <c r="L5" s="2914">
        <v>0</v>
      </c>
      <c r="N5" s="1467">
        <f>I5/100</f>
        <v>0</v>
      </c>
      <c r="O5" s="1467">
        <f>J5/100</f>
        <v>0</v>
      </c>
      <c r="P5" s="1467">
        <f>K5/100</f>
        <v>0</v>
      </c>
      <c r="Q5" s="1467">
        <f>L5/100</f>
        <v>0</v>
      </c>
      <c r="R5" s="1731"/>
      <c r="S5" s="1732"/>
      <c r="T5" s="1731"/>
      <c r="U5" s="1731"/>
      <c r="V5" s="1731"/>
      <c r="W5" s="2917" t="s">
        <v>3033</v>
      </c>
      <c r="X5" s="1725">
        <f>ROUND(IF(项目基本情况!B8="出让",SUMPRODUCT(PRODUCT(1+N5:N$29)),SUMPRODUCT(PRODUCT(1+N5:N$28))),4)</f>
        <v>1.5586</v>
      </c>
      <c r="Y5" s="1725">
        <f>ROUND(IF(项目基本情况!B8="出让",SUMPRODUCT(PRODUCT(1+O5:O$29)),SUMPRODUCT(PRODUCT(1+O5:O$28))),4)</f>
        <v>1.3633</v>
      </c>
      <c r="Z5" s="1725">
        <f t="shared" ref="Z5:Z13" si="7">Y5</f>
        <v>1.3633</v>
      </c>
      <c r="AA5" s="1725">
        <f>ROUND(IF(项目基本情况!B8="出让",SUMPRODUCT(PRODUCT(1+P5:P$29)),SUMPRODUCT(PRODUCT(1+P5:P$28))),4)</f>
        <v>1.6221000000000001</v>
      </c>
      <c r="AB5" s="1725">
        <f>ROUND(IF(项目基本情况!B8="出让",SUMPRODUCT(PRODUCT(1+Q5:Q$29)),SUMPRODUCT(PRODUCT(1+Q5:Q$28))),4)</f>
        <v>1.3777999999999999</v>
      </c>
      <c r="AD5" s="1468">
        <f>ROUND(AVERAGE(I5:I$29)/100,4)</f>
        <v>1.9199999999999998E-2</v>
      </c>
      <c r="AE5" s="1468">
        <f>ROUND(AVERAGE(J5:J$29)/100,4)</f>
        <v>1.34E-2</v>
      </c>
      <c r="AF5" s="1468">
        <f t="shared" ref="AF5:AF13" si="8">AE5</f>
        <v>1.34E-2</v>
      </c>
      <c r="AG5" s="1468">
        <f>ROUND(AVERAGE(K5:K$29)/100,4)</f>
        <v>2.1000000000000001E-2</v>
      </c>
      <c r="AH5" s="1468">
        <f>ROUND(AVERAGE(L5:L$29)/100,4)</f>
        <v>1.35E-2</v>
      </c>
    </row>
    <row r="6" spans="1:34" s="1466" customFormat="1" ht="13">
      <c r="A6" s="1461" t="s">
        <v>3050</v>
      </c>
      <c r="B6" s="1477">
        <f t="shared" si="2"/>
        <v>479.34737379023579</v>
      </c>
      <c r="C6" s="1477">
        <f t="shared" si="3"/>
        <v>351.4265287986122</v>
      </c>
      <c r="D6" s="1477">
        <f t="shared" si="4"/>
        <v>351.4265287986122</v>
      </c>
      <c r="E6" s="1477">
        <f t="shared" si="5"/>
        <v>685.98209703803116</v>
      </c>
      <c r="F6" s="1477">
        <f t="shared" si="6"/>
        <v>316.78315206651001</v>
      </c>
      <c r="G6" s="2952">
        <v>2019</v>
      </c>
      <c r="H6" s="1464">
        <v>4</v>
      </c>
      <c r="I6" s="1464">
        <v>0.45</v>
      </c>
      <c r="J6" s="1464">
        <v>-0.12</v>
      </c>
      <c r="K6" s="1464">
        <v>0.54</v>
      </c>
      <c r="L6" s="1478">
        <v>0.48</v>
      </c>
      <c r="M6" s="1471"/>
      <c r="N6" s="1472">
        <f t="shared" ref="N6:N11" si="9">I6/100</f>
        <v>4.5000000000000005E-3</v>
      </c>
      <c r="O6" s="1473">
        <f t="shared" ref="O6:O16" si="10">J6/100</f>
        <v>-1.1999999999999999E-3</v>
      </c>
      <c r="P6" s="1473">
        <f t="shared" ref="P6:P16" si="11">K6/100</f>
        <v>5.4000000000000003E-3</v>
      </c>
      <c r="Q6" s="1473">
        <f t="shared" ref="Q6:Q16" si="12">L6/100</f>
        <v>4.7999999999999996E-3</v>
      </c>
      <c r="R6" s="1474"/>
      <c r="S6" s="1472"/>
      <c r="T6" s="1473"/>
      <c r="U6" s="1473"/>
      <c r="V6" s="1473"/>
      <c r="W6" s="1789"/>
      <c r="X6" s="1787">
        <f>ROUND(IF(项目基本情况!B8="出让",SUMPRODUCT(PRODUCT(1+N6:N$29)),SUMPRODUCT(PRODUCT(1+N6:N$28))),4)</f>
        <v>1.5586</v>
      </c>
      <c r="Y6" s="1787">
        <f>ROUND(IF(项目基本情况!B8="出让",SUMPRODUCT(PRODUCT(1+O6:O$29)),SUMPRODUCT(PRODUCT(1+O6:O$28))),4)</f>
        <v>1.3633</v>
      </c>
      <c r="Z6" s="1787">
        <f t="shared" si="7"/>
        <v>1.3633</v>
      </c>
      <c r="AA6" s="1787">
        <f>ROUND(IF(项目基本情况!B8="出让",SUMPRODUCT(PRODUCT(1+P6:P$29)),SUMPRODUCT(PRODUCT(1+P6:P$28))),4)</f>
        <v>1.6221000000000001</v>
      </c>
      <c r="AB6" s="1787">
        <f>ROUND(IF(项目基本情况!B8="出让",SUMPRODUCT(PRODUCT(1+Q6:Q$29)),SUMPRODUCT(PRODUCT(1+Q6:Q$28))),4)</f>
        <v>1.3777999999999999</v>
      </c>
      <c r="AC6" s="1789"/>
      <c r="AD6" s="1788">
        <f>ROUND(AVERAGE(I6:I$29)/100,4)</f>
        <v>0.02</v>
      </c>
      <c r="AE6" s="1788">
        <f>ROUND(AVERAGE(J6:J$29)/100,4)</f>
        <v>1.4E-2</v>
      </c>
      <c r="AF6" s="1788">
        <f t="shared" si="8"/>
        <v>1.4E-2</v>
      </c>
      <c r="AG6" s="1788">
        <f>ROUND(AVERAGE(K6:K$29)/100,4)</f>
        <v>2.1899999999999999E-2</v>
      </c>
      <c r="AH6" s="1788">
        <f>ROUND(AVERAGE(L6:L$29)/100,4)</f>
        <v>1.4E-2</v>
      </c>
    </row>
    <row r="7" spans="1:34" s="1466" customFormat="1" ht="13.5" thickBot="1">
      <c r="A7" s="1461" t="s">
        <v>3046</v>
      </c>
      <c r="B7" s="1477">
        <f t="shared" si="2"/>
        <v>477.19997390765138</v>
      </c>
      <c r="C7" s="1477">
        <f t="shared" si="3"/>
        <v>351.84874729536665</v>
      </c>
      <c r="D7" s="1477">
        <f t="shared" si="4"/>
        <v>351.84874729536665</v>
      </c>
      <c r="E7" s="1477">
        <f t="shared" si="5"/>
        <v>682.29768951465201</v>
      </c>
      <c r="F7" s="1477">
        <f t="shared" si="6"/>
        <v>315.26985675409043</v>
      </c>
      <c r="G7" s="2951">
        <v>2019</v>
      </c>
      <c r="H7" s="1464">
        <v>3</v>
      </c>
      <c r="I7" s="1464">
        <v>0.61</v>
      </c>
      <c r="J7" s="1464">
        <v>0.67</v>
      </c>
      <c r="K7" s="1464">
        <v>0.6</v>
      </c>
      <c r="L7" s="1478">
        <v>1.03</v>
      </c>
      <c r="M7" s="1471"/>
      <c r="N7" s="1472">
        <f t="shared" si="9"/>
        <v>6.0999999999999995E-3</v>
      </c>
      <c r="O7" s="1473">
        <f t="shared" si="10"/>
        <v>6.7000000000000002E-3</v>
      </c>
      <c r="P7" s="1473">
        <f t="shared" si="11"/>
        <v>6.0000000000000001E-3</v>
      </c>
      <c r="Q7" s="1473">
        <f t="shared" si="12"/>
        <v>1.03E-2</v>
      </c>
      <c r="R7" s="1474"/>
      <c r="S7" s="1472"/>
      <c r="T7" s="1473"/>
      <c r="U7" s="1473"/>
      <c r="V7" s="1473"/>
      <c r="W7" s="1789"/>
      <c r="X7" s="1787">
        <f>ROUND(IF(项目基本情况!B8="出让",SUMPRODUCT(PRODUCT(1+N7:N$29)),SUMPRODUCT(PRODUCT(1+N7:N$28))),4)</f>
        <v>1.5516000000000001</v>
      </c>
      <c r="Y7" s="1787">
        <f>ROUND(IF(项目基本情况!B8="出让",SUMPRODUCT(PRODUCT(1+O7:O$29)),SUMPRODUCT(PRODUCT(1+O7:O$28))),4)</f>
        <v>1.3649</v>
      </c>
      <c r="Z7" s="1787">
        <f t="shared" si="7"/>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si="8"/>
        <v>1.47E-2</v>
      </c>
      <c r="AG7" s="1788">
        <f>ROUND(AVERAGE(K7:K$29)/100,4)</f>
        <v>2.2599999999999999E-2</v>
      </c>
      <c r="AH7" s="1788">
        <f>ROUND(AVERAGE(L7:L$29)/100,4)</f>
        <v>1.44E-2</v>
      </c>
    </row>
    <row r="8" spans="1:34" s="1466" customFormat="1" ht="13">
      <c r="A8" s="1461" t="s">
        <v>3044</v>
      </c>
      <c r="B8" s="1477">
        <f t="shared" si="2"/>
        <v>474.30670301923408</v>
      </c>
      <c r="C8" s="1477">
        <f t="shared" si="3"/>
        <v>349.50705005996491</v>
      </c>
      <c r="D8" s="1477">
        <f t="shared" si="4"/>
        <v>349.50705005996491</v>
      </c>
      <c r="E8" s="1477">
        <f t="shared" si="5"/>
        <v>678.22831959706957</v>
      </c>
      <c r="F8" s="1477">
        <f t="shared" si="6"/>
        <v>312.0556832169558</v>
      </c>
      <c r="G8" s="2947">
        <v>2019</v>
      </c>
      <c r="H8" s="1462">
        <v>2</v>
      </c>
      <c r="I8" s="1462">
        <v>1.53</v>
      </c>
      <c r="J8" s="1462">
        <v>1.01</v>
      </c>
      <c r="K8" s="1462">
        <v>1.62</v>
      </c>
      <c r="L8" s="1463">
        <v>1.25</v>
      </c>
      <c r="M8" s="1471"/>
      <c r="N8" s="1472">
        <f t="shared" si="9"/>
        <v>1.5300000000000001E-2</v>
      </c>
      <c r="O8" s="1473">
        <f t="shared" si="10"/>
        <v>1.01E-2</v>
      </c>
      <c r="P8" s="1473">
        <f t="shared" si="11"/>
        <v>1.6200000000000003E-2</v>
      </c>
      <c r="Q8" s="1473">
        <f t="shared" si="12"/>
        <v>1.2500000000000001E-2</v>
      </c>
      <c r="R8" s="1474"/>
      <c r="S8" s="1472"/>
      <c r="T8" s="1473"/>
      <c r="U8" s="1473"/>
      <c r="V8" s="1473"/>
      <c r="W8" s="1789"/>
      <c r="X8" s="1787">
        <f>ROUND(IF(项目基本情况!B8="出让",SUMPRODUCT(PRODUCT(1+N8:N$29)),SUMPRODUCT(PRODUCT(1+N8:N$28))),4)</f>
        <v>1.5422</v>
      </c>
      <c r="Y8" s="1787">
        <f>ROUND(IF(项目基本情况!B8="出让",SUMPRODUCT(PRODUCT(1+O8:O$29)),SUMPRODUCT(PRODUCT(1+O8:O$28))),4)</f>
        <v>1.3557999999999999</v>
      </c>
      <c r="Z8" s="1787">
        <f t="shared" si="7"/>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si="8"/>
        <v>1.4999999999999999E-2</v>
      </c>
      <c r="AG8" s="1788">
        <f>ROUND(AVERAGE(K8:K$29)/100,4)</f>
        <v>2.3300000000000001E-2</v>
      </c>
      <c r="AH8" s="1788">
        <f>ROUND(AVERAGE(L8:L$29)/100,4)</f>
        <v>1.46E-2</v>
      </c>
    </row>
    <row r="9" spans="1:34" s="1466" customFormat="1" ht="13.5" thickBot="1">
      <c r="A9" s="1461" t="s">
        <v>3042</v>
      </c>
      <c r="B9" s="1477">
        <f t="shared" si="2"/>
        <v>467.15916775261894</v>
      </c>
      <c r="C9" s="1477">
        <f t="shared" si="3"/>
        <v>346.01232557169084</v>
      </c>
      <c r="D9" s="1477">
        <f t="shared" si="4"/>
        <v>346.01232557169084</v>
      </c>
      <c r="E9" s="1477">
        <f t="shared" si="5"/>
        <v>667.41617752122568</v>
      </c>
      <c r="F9" s="1477">
        <f t="shared" si="6"/>
        <v>308.20314391798104</v>
      </c>
      <c r="G9" s="2931">
        <v>2019</v>
      </c>
      <c r="H9" s="1464">
        <v>1</v>
      </c>
      <c r="I9" s="1464">
        <v>0.6</v>
      </c>
      <c r="J9" s="1464">
        <v>0.37</v>
      </c>
      <c r="K9" s="1464">
        <v>0.63</v>
      </c>
      <c r="L9" s="1478">
        <v>1.1299999999999999</v>
      </c>
      <c r="M9" s="1471"/>
      <c r="N9" s="1472">
        <f t="shared" si="9"/>
        <v>6.0000000000000001E-3</v>
      </c>
      <c r="O9" s="1473">
        <f t="shared" si="10"/>
        <v>3.7000000000000002E-3</v>
      </c>
      <c r="P9" s="1473">
        <f t="shared" si="11"/>
        <v>6.3E-3</v>
      </c>
      <c r="Q9" s="1473">
        <f t="shared" si="12"/>
        <v>1.1299999999999999E-2</v>
      </c>
      <c r="R9" s="1474"/>
      <c r="S9" s="1472">
        <f>B9/B10-1</f>
        <v>6.0000000000000053E-3</v>
      </c>
      <c r="T9" s="1473">
        <f>C9/C10-1</f>
        <v>3.7000000000000366E-3</v>
      </c>
      <c r="U9" s="1473">
        <f>D9/D10-1</f>
        <v>3.7000000000000366E-3</v>
      </c>
      <c r="V9" s="1473">
        <f>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si="7"/>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si="8"/>
        <v>1.5299999999999999E-2</v>
      </c>
      <c r="AG9" s="1788">
        <f>ROUND(AVERAGE(K9:K$29)/100,4)</f>
        <v>2.3699999999999999E-2</v>
      </c>
      <c r="AH9" s="1788">
        <f>ROUND(AVERAGE(L9:L$29)/100,4)</f>
        <v>1.47E-2</v>
      </c>
    </row>
    <row r="10" spans="1:34" s="1466" customFormat="1" ht="13">
      <c r="A10" s="1461" t="s">
        <v>3045</v>
      </c>
      <c r="B10" s="2948">
        <f t="shared" si="2"/>
        <v>464.37293017158942</v>
      </c>
      <c r="C10" s="2948">
        <f t="shared" si="3"/>
        <v>344.73679941385956</v>
      </c>
      <c r="D10" s="2948">
        <f t="shared" si="4"/>
        <v>344.73679941385956</v>
      </c>
      <c r="E10" s="2948">
        <f t="shared" si="5"/>
        <v>663.2377795103107</v>
      </c>
      <c r="F10" s="2949">
        <f t="shared" si="6"/>
        <v>304.75936311478398</v>
      </c>
      <c r="G10" s="3292">
        <v>2018</v>
      </c>
      <c r="H10" s="1462">
        <v>4</v>
      </c>
      <c r="I10" s="1462">
        <v>0.96</v>
      </c>
      <c r="J10" s="1462">
        <v>1.03</v>
      </c>
      <c r="K10" s="1462">
        <v>0.92</v>
      </c>
      <c r="L10" s="1463">
        <v>1.29</v>
      </c>
      <c r="M10" s="1471"/>
      <c r="N10" s="1472">
        <f t="shared" si="9"/>
        <v>9.5999999999999992E-3</v>
      </c>
      <c r="O10" s="1473">
        <f t="shared" si="10"/>
        <v>1.03E-2</v>
      </c>
      <c r="P10" s="1473">
        <f t="shared" si="11"/>
        <v>9.1999999999999998E-3</v>
      </c>
      <c r="Q10" s="1473">
        <f t="shared" si="12"/>
        <v>1.29E-2</v>
      </c>
      <c r="R10" s="1474"/>
      <c r="S10" s="1472"/>
      <c r="T10" s="1473"/>
      <c r="U10" s="1473"/>
      <c r="V10" s="1473"/>
      <c r="W10" s="1789"/>
      <c r="X10" s="1787">
        <f>ROUND(SUMPRODUCT(PRODUCT(1+N10:N$28)),4)</f>
        <v>1.5099</v>
      </c>
      <c r="Y10" s="1787">
        <f>ROUND(SUMPRODUCT(PRODUCT(1+O10:O$28)),4)</f>
        <v>1.3372999999999999</v>
      </c>
      <c r="Z10" s="1787">
        <f t="shared" si="7"/>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si="8"/>
        <v>1.5800000000000002E-2</v>
      </c>
      <c r="AG10" s="1788">
        <f>ROUND(AVERAGE(K10:K$29)/100,4)</f>
        <v>2.4500000000000001E-2</v>
      </c>
      <c r="AH10" s="1788">
        <f>ROUND(AVERAGE(L10:L$29)/100,4)</f>
        <v>1.49E-2</v>
      </c>
    </row>
    <row r="11" spans="1:34" s="1466" customFormat="1" ht="14.4" customHeight="1">
      <c r="A11" s="1461" t="s">
        <v>3039</v>
      </c>
      <c r="B11" s="1477">
        <f t="shared" si="2"/>
        <v>459.95733971036987</v>
      </c>
      <c r="C11" s="1477">
        <f t="shared" si="3"/>
        <v>341.22221064422405</v>
      </c>
      <c r="D11" s="1477">
        <f t="shared" si="4"/>
        <v>341.22221064422405</v>
      </c>
      <c r="E11" s="1477">
        <f t="shared" si="5"/>
        <v>657.19161663724799</v>
      </c>
      <c r="F11" s="1477">
        <f t="shared" si="6"/>
        <v>300.87803644464805</v>
      </c>
      <c r="G11" s="3292"/>
      <c r="H11" s="1464">
        <v>3</v>
      </c>
      <c r="I11" s="1464">
        <v>1.51</v>
      </c>
      <c r="J11" s="1464">
        <v>1.41</v>
      </c>
      <c r="K11" s="1464">
        <v>1.52</v>
      </c>
      <c r="L11" s="1478">
        <v>1.74</v>
      </c>
      <c r="M11" s="1471"/>
      <c r="N11" s="1472">
        <f t="shared" si="9"/>
        <v>1.5100000000000001E-2</v>
      </c>
      <c r="O11" s="1473">
        <f t="shared" si="10"/>
        <v>1.41E-2</v>
      </c>
      <c r="P11" s="1473">
        <f t="shared" si="11"/>
        <v>1.52E-2</v>
      </c>
      <c r="Q11" s="1473">
        <f t="shared" si="12"/>
        <v>1.7399999999999999E-2</v>
      </c>
      <c r="R11" s="1474"/>
      <c r="S11" s="1472"/>
      <c r="T11" s="1473"/>
      <c r="U11" s="1473"/>
      <c r="V11" s="1473"/>
      <c r="W11" s="1789"/>
      <c r="X11" s="1787">
        <f>ROUND(SUMPRODUCT(PRODUCT(1+N11:N$28)),4)</f>
        <v>1.4956</v>
      </c>
      <c r="Y11" s="1787">
        <f>ROUND(SUMPRODUCT(PRODUCT(1+O11:O$28)),4)</f>
        <v>1.3237000000000001</v>
      </c>
      <c r="Z11" s="1787">
        <f t="shared" si="7"/>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si="8"/>
        <v>1.61E-2</v>
      </c>
      <c r="AG11" s="1788">
        <f>ROUND(AVERAGE(K11:K$29)/100,4)</f>
        <v>2.53E-2</v>
      </c>
      <c r="AH11" s="1788">
        <f>ROUND(AVERAGE(L11:L$29)/100,4)</f>
        <v>1.4999999999999999E-2</v>
      </c>
    </row>
    <row r="12" spans="1:34" s="1466" customFormat="1" ht="14.4" customHeight="1">
      <c r="A12" s="1461" t="s">
        <v>3038</v>
      </c>
      <c r="B12" s="1477">
        <f t="shared" si="2"/>
        <v>453.11529869999993</v>
      </c>
      <c r="C12" s="1477">
        <f t="shared" si="3"/>
        <v>336.47787264000004</v>
      </c>
      <c r="D12" s="1477">
        <f t="shared" si="4"/>
        <v>336.47787264000004</v>
      </c>
      <c r="E12" s="1477">
        <f t="shared" si="5"/>
        <v>647.35186823999993</v>
      </c>
      <c r="F12" s="1477">
        <f t="shared" si="6"/>
        <v>295.73229452000004</v>
      </c>
      <c r="G12" s="3292"/>
      <c r="H12" s="1465">
        <v>2</v>
      </c>
      <c r="I12" s="1465">
        <v>1.49</v>
      </c>
      <c r="J12" s="1465">
        <v>0.96</v>
      </c>
      <c r="K12" s="1465">
        <v>1.58</v>
      </c>
      <c r="L12" s="1479">
        <v>2.44</v>
      </c>
      <c r="M12" s="1471"/>
      <c r="N12" s="1472">
        <f>I12/100</f>
        <v>1.49E-2</v>
      </c>
      <c r="O12" s="1473">
        <f t="shared" si="10"/>
        <v>9.5999999999999992E-3</v>
      </c>
      <c r="P12" s="1473">
        <f t="shared" si="11"/>
        <v>1.5800000000000002E-2</v>
      </c>
      <c r="Q12" s="1473">
        <f t="shared" si="12"/>
        <v>2.4399999999999998E-2</v>
      </c>
      <c r="R12" s="1474"/>
      <c r="S12" s="1472"/>
      <c r="T12" s="1473"/>
      <c r="U12" s="1473"/>
      <c r="V12" s="1473"/>
      <c r="W12" s="1789"/>
      <c r="X12" s="1787">
        <f>ROUND(SUMPRODUCT(PRODUCT(1+N12:N$28)),4)</f>
        <v>1.4733000000000001</v>
      </c>
      <c r="Y12" s="1787">
        <f>ROUND(SUMPRODUCT(PRODUCT(1+O12:O$28)),4)</f>
        <v>1.3052999999999999</v>
      </c>
      <c r="Z12" s="1787">
        <f t="shared" si="7"/>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si="8"/>
        <v>1.6199999999999999E-2</v>
      </c>
      <c r="AG12" s="1788">
        <f>ROUND(AVERAGE(K12:K$29)/100,4)</f>
        <v>2.5899999999999999E-2</v>
      </c>
      <c r="AH12" s="1788">
        <f>ROUND(AVERAGE(L12:L$29)/100,4)</f>
        <v>1.49E-2</v>
      </c>
    </row>
    <row r="13" spans="1:34" s="1466" customFormat="1" ht="15" customHeight="1" thickBot="1">
      <c r="A13" s="1461" t="s">
        <v>3031</v>
      </c>
      <c r="B13" s="1477">
        <f t="shared" si="2"/>
        <v>446.46299999999997</v>
      </c>
      <c r="C13" s="1477">
        <f t="shared" si="3"/>
        <v>333.27840000000003</v>
      </c>
      <c r="D13" s="1477">
        <f t="shared" si="4"/>
        <v>333.27840000000003</v>
      </c>
      <c r="E13" s="1477">
        <f t="shared" si="5"/>
        <v>637.28279999999995</v>
      </c>
      <c r="F13" s="1477">
        <f t="shared" si="6"/>
        <v>288.68830000000003</v>
      </c>
      <c r="G13" s="3301"/>
      <c r="H13" s="1464">
        <v>1</v>
      </c>
      <c r="I13" s="1464">
        <v>1.7</v>
      </c>
      <c r="J13" s="1464">
        <v>1.92</v>
      </c>
      <c r="K13" s="1464">
        <v>1.64</v>
      </c>
      <c r="L13" s="1478">
        <v>2.0099999999999998</v>
      </c>
      <c r="M13" s="1471"/>
      <c r="N13" s="1472">
        <f t="shared" ref="N13:N18" si="13">I13/100</f>
        <v>1.7000000000000001E-2</v>
      </c>
      <c r="O13" s="1473">
        <f t="shared" si="10"/>
        <v>1.9199999999999998E-2</v>
      </c>
      <c r="P13" s="1473">
        <f t="shared" si="11"/>
        <v>1.6399999999999998E-2</v>
      </c>
      <c r="Q13" s="1473">
        <f t="shared" si="12"/>
        <v>2.0099999999999996E-2</v>
      </c>
      <c r="R13" s="1474"/>
      <c r="S13" s="1472">
        <f>B13/B14-1</f>
        <v>1.6999999999999904E-2</v>
      </c>
      <c r="T13" s="1473">
        <f>C13/C14-1</f>
        <v>1.9200000000000106E-2</v>
      </c>
      <c r="U13" s="1473">
        <f>D13/D14-1</f>
        <v>1.9200000000000106E-2</v>
      </c>
      <c r="V13" s="1473">
        <f>E13/E14-1</f>
        <v>1.639999999999997E-2</v>
      </c>
      <c r="W13" s="1789"/>
      <c r="X13" s="1787">
        <f>ROUND(SUMPRODUCT(PRODUCT(1+N13:N$28)),4)</f>
        <v>1.4517</v>
      </c>
      <c r="Y13" s="1787">
        <f>ROUND(SUMPRODUCT(PRODUCT(1+O13:O$28)),4)</f>
        <v>1.2928999999999999</v>
      </c>
      <c r="Z13" s="1787">
        <f t="shared" si="7"/>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si="8"/>
        <v>1.66E-2</v>
      </c>
      <c r="AG13" s="1788">
        <f>ROUND(AVERAGE(K13:K$29)/100,4)</f>
        <v>2.6499999999999999E-2</v>
      </c>
      <c r="AH13" s="1788">
        <f>ROUND(AVERAGE(L13:L$29)/100,4)</f>
        <v>1.43E-2</v>
      </c>
    </row>
    <row r="14" spans="1:34" ht="13">
      <c r="A14" s="1461" t="s">
        <v>3028</v>
      </c>
      <c r="B14" s="1469">
        <v>439</v>
      </c>
      <c r="C14" s="1469">
        <v>327</v>
      </c>
      <c r="D14" s="1469">
        <f t="shared" si="4"/>
        <v>327</v>
      </c>
      <c r="E14" s="1469">
        <v>627</v>
      </c>
      <c r="F14" s="1470">
        <v>283</v>
      </c>
      <c r="G14" s="3297">
        <v>2017</v>
      </c>
      <c r="H14" s="1462">
        <v>4</v>
      </c>
      <c r="I14" s="1462">
        <v>1.71</v>
      </c>
      <c r="J14" s="1462">
        <v>1.78</v>
      </c>
      <c r="K14" s="1462">
        <v>1.71</v>
      </c>
      <c r="L14" s="1463">
        <v>1.43</v>
      </c>
      <c r="N14" s="1472">
        <f t="shared" si="13"/>
        <v>1.7100000000000001E-2</v>
      </c>
      <c r="O14" s="1473">
        <f t="shared" si="10"/>
        <v>1.78E-2</v>
      </c>
      <c r="P14" s="1473">
        <f t="shared" si="11"/>
        <v>1.7100000000000001E-2</v>
      </c>
      <c r="Q14" s="1473">
        <f t="shared" si="12"/>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 customHeight="1">
      <c r="A15" s="1461" t="s">
        <v>3029</v>
      </c>
      <c r="B15" s="1477">
        <f t="shared" ref="B15:C17" si="14">B16*(1+N15)</f>
        <v>431.80730811680002</v>
      </c>
      <c r="C15" s="1477">
        <f t="shared" si="14"/>
        <v>320.57880516480003</v>
      </c>
      <c r="D15" s="1477">
        <f t="shared" si="4"/>
        <v>320.57880516480003</v>
      </c>
      <c r="E15" s="1477">
        <f t="shared" ref="E15:F17" si="15">E16*(1+P15)</f>
        <v>615.96110553196797</v>
      </c>
      <c r="F15" s="1477">
        <f t="shared" si="15"/>
        <v>279.46777300108801</v>
      </c>
      <c r="G15" s="3292"/>
      <c r="H15" s="1464">
        <v>3</v>
      </c>
      <c r="I15" s="1464">
        <v>2.98</v>
      </c>
      <c r="J15" s="1464">
        <v>2.11</v>
      </c>
      <c r="K15" s="1464">
        <v>3.24</v>
      </c>
      <c r="L15" s="1478">
        <v>1.72</v>
      </c>
      <c r="M15" s="1471"/>
      <c r="N15" s="1472">
        <f t="shared" si="13"/>
        <v>2.98E-2</v>
      </c>
      <c r="O15" s="1473">
        <f t="shared" si="10"/>
        <v>2.1099999999999997E-2</v>
      </c>
      <c r="P15" s="1473">
        <f t="shared" si="11"/>
        <v>3.2400000000000005E-2</v>
      </c>
      <c r="Q15" s="1473">
        <f t="shared" si="12"/>
        <v>1.72E-2</v>
      </c>
      <c r="R15" s="1474"/>
      <c r="S15" s="1472"/>
      <c r="T15" s="1473"/>
      <c r="U15" s="1473"/>
      <c r="V15" s="1473"/>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 customHeight="1">
      <c r="A16" s="1461" t="s">
        <v>1380</v>
      </c>
      <c r="B16" s="1477">
        <f t="shared" si="14"/>
        <v>419.31181600000002</v>
      </c>
      <c r="C16" s="1477">
        <f t="shared" si="14"/>
        <v>313.95436800000004</v>
      </c>
      <c r="D16" s="1477">
        <f t="shared" si="4"/>
        <v>313.95436800000004</v>
      </c>
      <c r="E16" s="1477">
        <f t="shared" si="15"/>
        <v>596.63028431999999</v>
      </c>
      <c r="F16" s="1477">
        <f t="shared" si="15"/>
        <v>274.74220703999998</v>
      </c>
      <c r="G16" s="3292"/>
      <c r="H16" s="1465">
        <v>2</v>
      </c>
      <c r="I16" s="1465">
        <v>3.4</v>
      </c>
      <c r="J16" s="1465">
        <v>2</v>
      </c>
      <c r="K16" s="1465">
        <v>3.82</v>
      </c>
      <c r="L16" s="1479">
        <v>1.68</v>
      </c>
      <c r="M16" s="1471"/>
      <c r="N16" s="1472">
        <f t="shared" si="13"/>
        <v>3.4000000000000002E-2</v>
      </c>
      <c r="O16" s="1473">
        <f t="shared" si="10"/>
        <v>0.02</v>
      </c>
      <c r="P16" s="1473">
        <f t="shared" si="11"/>
        <v>3.8199999999999998E-2</v>
      </c>
      <c r="Q16" s="1473">
        <f t="shared" si="12"/>
        <v>1.6799999999999999E-2</v>
      </c>
      <c r="R16" s="1474"/>
      <c r="S16" s="1475"/>
      <c r="T16" s="1476"/>
      <c r="U16" s="1476"/>
      <c r="V16" s="1476"/>
      <c r="W16" s="1453"/>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3"/>
      <c r="AD16" s="1788">
        <f>ROUND(AVERAGE(I16:I$29)/100,4)</f>
        <v>2.46E-2</v>
      </c>
      <c r="AE16" s="1788">
        <f>ROUND(AVERAGE(J16:J$29)/100,4)</f>
        <v>1.6E-2</v>
      </c>
      <c r="AF16" s="1788">
        <f t="shared" si="1"/>
        <v>1.6E-2</v>
      </c>
      <c r="AG16" s="1788">
        <f>ROUND(AVERAGE(K16:K$29)/100,4)</f>
        <v>2.75E-2</v>
      </c>
      <c r="AH16" s="1788">
        <f>ROUND(AVERAGE(L16:L$29)/100,4)</f>
        <v>1.37E-2</v>
      </c>
    </row>
    <row r="17" spans="1:34" s="1466" customFormat="1" ht="15" customHeight="1" thickBot="1">
      <c r="A17" s="1461" t="s">
        <v>1156</v>
      </c>
      <c r="B17" s="1477">
        <f t="shared" si="14"/>
        <v>405.524</v>
      </c>
      <c r="C17" s="1477">
        <f t="shared" si="14"/>
        <v>307.79840000000002</v>
      </c>
      <c r="D17" s="1477">
        <f t="shared" si="4"/>
        <v>307.79840000000002</v>
      </c>
      <c r="E17" s="1477">
        <f t="shared" si="15"/>
        <v>574.67759999999998</v>
      </c>
      <c r="F17" s="1477">
        <f t="shared" si="15"/>
        <v>270.20280000000002</v>
      </c>
      <c r="G17" s="3301"/>
      <c r="H17" s="1464">
        <v>1</v>
      </c>
      <c r="I17" s="1464">
        <v>3.45</v>
      </c>
      <c r="J17" s="1464">
        <v>1.92</v>
      </c>
      <c r="K17" s="1464">
        <v>3.92</v>
      </c>
      <c r="L17" s="1478">
        <v>1.58</v>
      </c>
      <c r="M17" s="1471"/>
      <c r="N17" s="1472">
        <f t="shared" si="13"/>
        <v>3.4500000000000003E-2</v>
      </c>
      <c r="O17" s="1473">
        <f t="shared" ref="O17:Q32" si="16">J17/100</f>
        <v>1.9199999999999998E-2</v>
      </c>
      <c r="P17" s="1473">
        <f t="shared" si="16"/>
        <v>3.9199999999999999E-2</v>
      </c>
      <c r="Q17" s="1473">
        <f t="shared" si="16"/>
        <v>1.5800000000000002E-2</v>
      </c>
      <c r="R17" s="1474"/>
      <c r="S17" s="1472">
        <f>B17/B18-1</f>
        <v>3.4499999999999975E-2</v>
      </c>
      <c r="T17" s="1473">
        <f>C17/C18-1</f>
        <v>1.9200000000000106E-2</v>
      </c>
      <c r="U17" s="1473">
        <f>D17/D18-1</f>
        <v>1.9200000000000106E-2</v>
      </c>
      <c r="V17" s="1473">
        <f>E17/E18-1</f>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ht="13">
      <c r="A18" s="1461" t="s">
        <v>154</v>
      </c>
      <c r="B18" s="1469">
        <v>392</v>
      </c>
      <c r="C18" s="1469">
        <v>302</v>
      </c>
      <c r="D18" s="1469">
        <f t="shared" si="4"/>
        <v>302</v>
      </c>
      <c r="E18" s="1469">
        <v>553</v>
      </c>
      <c r="F18" s="1470">
        <v>266</v>
      </c>
      <c r="G18" s="3297">
        <v>2016</v>
      </c>
      <c r="H18" s="1462">
        <v>4</v>
      </c>
      <c r="I18" s="1462">
        <v>4.5599999999999996</v>
      </c>
      <c r="J18" s="1462">
        <v>2.15</v>
      </c>
      <c r="K18" s="1462">
        <v>5.32</v>
      </c>
      <c r="L18" s="1463">
        <v>1.57</v>
      </c>
      <c r="N18" s="1472">
        <f t="shared" si="13"/>
        <v>4.5599999999999995E-2</v>
      </c>
      <c r="O18" s="1473">
        <f t="shared" si="16"/>
        <v>2.1499999999999998E-2</v>
      </c>
      <c r="P18" s="1473">
        <f t="shared" si="16"/>
        <v>5.3200000000000004E-2</v>
      </c>
      <c r="Q18" s="1473">
        <f t="shared" si="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7">B18/(1+N18)</f>
        <v>374.90436113236416</v>
      </c>
      <c r="C19" s="1477">
        <f t="shared" si="17"/>
        <v>295.64366128242779</v>
      </c>
      <c r="D19" s="1477">
        <f t="shared" ref="D19:D78" si="18">C19</f>
        <v>295.64366128242779</v>
      </c>
      <c r="E19" s="1477">
        <f t="shared" ref="E19:F21" si="19">E18/(1+P18)</f>
        <v>525.06646410938095</v>
      </c>
      <c r="F19" s="1477">
        <f t="shared" si="19"/>
        <v>261.88835286009646</v>
      </c>
      <c r="G19" s="3292"/>
      <c r="H19" s="1464">
        <v>3</v>
      </c>
      <c r="I19" s="1464">
        <v>4.12</v>
      </c>
      <c r="J19" s="1464">
        <v>2</v>
      </c>
      <c r="K19" s="1464">
        <v>4.79</v>
      </c>
      <c r="L19" s="1478">
        <v>1.97</v>
      </c>
      <c r="N19" s="1472">
        <f t="shared" ref="N19:Q53" si="20">I19/100</f>
        <v>4.1200000000000001E-2</v>
      </c>
      <c r="O19" s="1473">
        <f t="shared" si="16"/>
        <v>0.02</v>
      </c>
      <c r="P19" s="1473">
        <f t="shared" si="16"/>
        <v>4.7899999999999998E-2</v>
      </c>
      <c r="Q19" s="1473">
        <f t="shared" si="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7"/>
        <v>360.06949782209392</v>
      </c>
      <c r="C20" s="1477">
        <f t="shared" si="17"/>
        <v>289.84672674747821</v>
      </c>
      <c r="D20" s="1477">
        <f t="shared" si="18"/>
        <v>289.84672674747821</v>
      </c>
      <c r="E20" s="1477">
        <f t="shared" si="19"/>
        <v>501.06543001181495</v>
      </c>
      <c r="F20" s="1477">
        <f t="shared" si="19"/>
        <v>256.82882500744967</v>
      </c>
      <c r="G20" s="3292"/>
      <c r="H20" s="1465">
        <v>2</v>
      </c>
      <c r="I20" s="1465">
        <v>3.85</v>
      </c>
      <c r="J20" s="1465">
        <v>1.95</v>
      </c>
      <c r="K20" s="1465">
        <v>4.4800000000000004</v>
      </c>
      <c r="L20" s="1479">
        <v>1.41</v>
      </c>
      <c r="N20" s="1472">
        <f t="shared" si="20"/>
        <v>3.85E-2</v>
      </c>
      <c r="O20" s="1473">
        <f t="shared" si="16"/>
        <v>1.95E-2</v>
      </c>
      <c r="P20" s="1473">
        <f t="shared" si="16"/>
        <v>4.4800000000000006E-2</v>
      </c>
      <c r="Q20" s="1473">
        <f t="shared" si="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 thickBot="1">
      <c r="A21" s="1461" t="s">
        <v>152</v>
      </c>
      <c r="B21" s="1477">
        <f t="shared" si="17"/>
        <v>346.720748986128</v>
      </c>
      <c r="C21" s="1477">
        <f t="shared" si="17"/>
        <v>284.30282172386285</v>
      </c>
      <c r="D21" s="1477">
        <f t="shared" si="18"/>
        <v>284.30282172386285</v>
      </c>
      <c r="E21" s="1477">
        <f t="shared" si="19"/>
        <v>479.58023546306947</v>
      </c>
      <c r="F21" s="1477">
        <f t="shared" si="19"/>
        <v>253.25788877571213</v>
      </c>
      <c r="G21" s="3293"/>
      <c r="H21" s="1464">
        <v>1</v>
      </c>
      <c r="I21" s="1464">
        <v>4.09</v>
      </c>
      <c r="J21" s="1464">
        <v>2.93</v>
      </c>
      <c r="K21" s="1464">
        <v>4.54</v>
      </c>
      <c r="L21" s="1478">
        <v>1.48</v>
      </c>
      <c r="N21" s="1472">
        <f t="shared" si="20"/>
        <v>4.0899999999999999E-2</v>
      </c>
      <c r="O21" s="1473">
        <f t="shared" si="16"/>
        <v>2.9300000000000003E-2</v>
      </c>
      <c r="P21" s="1473">
        <f t="shared" si="16"/>
        <v>4.5400000000000003E-2</v>
      </c>
      <c r="Q21" s="1473">
        <f t="shared" si="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8"/>
        <v>277</v>
      </c>
      <c r="E22" s="1469">
        <v>459</v>
      </c>
      <c r="F22" s="1470">
        <v>249</v>
      </c>
      <c r="G22" s="3291">
        <v>2015</v>
      </c>
      <c r="H22" s="1482">
        <v>4</v>
      </c>
      <c r="I22" s="1482">
        <v>1.63</v>
      </c>
      <c r="J22" s="1482">
        <v>1.1100000000000001</v>
      </c>
      <c r="K22" s="1482">
        <v>1.77</v>
      </c>
      <c r="L22" s="1483">
        <v>1.89</v>
      </c>
      <c r="N22" s="1484">
        <f t="shared" si="20"/>
        <v>1.6299999999999999E-2</v>
      </c>
      <c r="O22" s="1485">
        <f t="shared" si="16"/>
        <v>1.11E-2</v>
      </c>
      <c r="P22" s="1485">
        <f t="shared" si="16"/>
        <v>1.77E-2</v>
      </c>
      <c r="Q22" s="1485">
        <f t="shared" si="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21">B22/(1+N22)</f>
        <v>327.65915576109415</v>
      </c>
      <c r="C23" s="1477">
        <f t="shared" si="21"/>
        <v>273.95905449510434</v>
      </c>
      <c r="D23" s="1477">
        <f t="shared" si="18"/>
        <v>273.95905449510434</v>
      </c>
      <c r="E23" s="1477">
        <f t="shared" ref="E23:F25" si="22">E22/(1+P22)</f>
        <v>451.01699911565294</v>
      </c>
      <c r="F23" s="1477">
        <f t="shared" si="22"/>
        <v>244.38119540681129</v>
      </c>
      <c r="G23" s="3292"/>
      <c r="H23" s="1487">
        <v>3</v>
      </c>
      <c r="I23" s="1487">
        <v>1.65</v>
      </c>
      <c r="J23" s="1487">
        <v>0.92</v>
      </c>
      <c r="K23" s="1487">
        <v>1.88</v>
      </c>
      <c r="L23" s="1488">
        <v>1.26</v>
      </c>
      <c r="N23" s="1472">
        <f t="shared" si="20"/>
        <v>1.6500000000000001E-2</v>
      </c>
      <c r="O23" s="1489">
        <f t="shared" si="16"/>
        <v>9.1999999999999998E-3</v>
      </c>
      <c r="P23" s="1489">
        <f t="shared" si="16"/>
        <v>1.8799999999999997E-2</v>
      </c>
      <c r="Q23" s="1489">
        <f t="shared" si="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21"/>
        <v>322.34053690220776</v>
      </c>
      <c r="C24" s="1477">
        <f t="shared" si="21"/>
        <v>271.46160770422546</v>
      </c>
      <c r="D24" s="1477">
        <f t="shared" si="18"/>
        <v>271.46160770422546</v>
      </c>
      <c r="E24" s="1477">
        <f t="shared" si="22"/>
        <v>442.69434542172456</v>
      </c>
      <c r="F24" s="1477">
        <f t="shared" si="22"/>
        <v>241.34030753190925</v>
      </c>
      <c r="G24" s="3292"/>
      <c r="H24" s="1465">
        <v>2</v>
      </c>
      <c r="I24" s="1465">
        <v>0.77</v>
      </c>
      <c r="J24" s="1465">
        <v>0.69</v>
      </c>
      <c r="K24" s="1465">
        <v>0.8</v>
      </c>
      <c r="L24" s="1479">
        <v>0.88</v>
      </c>
      <c r="N24" s="1472">
        <f t="shared" si="20"/>
        <v>7.7000000000000002E-3</v>
      </c>
      <c r="O24" s="1489">
        <f t="shared" si="16"/>
        <v>6.8999999999999999E-3</v>
      </c>
      <c r="P24" s="1489">
        <f t="shared" si="16"/>
        <v>8.0000000000000002E-3</v>
      </c>
      <c r="Q24" s="1489">
        <f t="shared" si="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21"/>
        <v>319.87748030386797</v>
      </c>
      <c r="C25" s="1477">
        <f t="shared" si="21"/>
        <v>269.60135833173649</v>
      </c>
      <c r="D25" s="1477">
        <f t="shared" si="18"/>
        <v>269.60135833173649</v>
      </c>
      <c r="E25" s="1477">
        <f t="shared" si="22"/>
        <v>439.18089823583784</v>
      </c>
      <c r="F25" s="1477">
        <f t="shared" si="22"/>
        <v>239.23503918706311</v>
      </c>
      <c r="G25" s="3293"/>
      <c r="H25" s="1464">
        <v>1</v>
      </c>
      <c r="I25" s="1464">
        <v>0.51</v>
      </c>
      <c r="J25" s="1464">
        <v>0.54</v>
      </c>
      <c r="K25" s="1464">
        <v>0.48</v>
      </c>
      <c r="L25" s="1478">
        <v>0.93</v>
      </c>
      <c r="N25" s="1480">
        <f t="shared" si="20"/>
        <v>5.1000000000000004E-3</v>
      </c>
      <c r="O25" s="1481">
        <f t="shared" si="16"/>
        <v>5.4000000000000003E-3</v>
      </c>
      <c r="P25" s="1481">
        <f t="shared" si="16"/>
        <v>4.7999999999999996E-3</v>
      </c>
      <c r="Q25" s="1481">
        <f t="shared" si="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8"/>
        <v>268</v>
      </c>
      <c r="E26" s="1490">
        <v>437</v>
      </c>
      <c r="F26" s="1491">
        <v>237</v>
      </c>
      <c r="G26" s="3291">
        <v>2014</v>
      </c>
      <c r="H26" s="1482">
        <v>4</v>
      </c>
      <c r="I26" s="1482">
        <v>0.21</v>
      </c>
      <c r="J26" s="1482">
        <v>0.41</v>
      </c>
      <c r="K26" s="1482">
        <v>0.12</v>
      </c>
      <c r="L26" s="1483">
        <v>0.89</v>
      </c>
      <c r="N26" s="1472">
        <f t="shared" si="20"/>
        <v>2.0999999999999999E-3</v>
      </c>
      <c r="O26" s="1473">
        <f t="shared" si="16"/>
        <v>4.0999999999999995E-3</v>
      </c>
      <c r="P26" s="1473">
        <f t="shared" si="16"/>
        <v>1.1999999999999999E-3</v>
      </c>
      <c r="Q26" s="1473">
        <f t="shared" si="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23">B26/(1+N26)</f>
        <v>317.33359944117353</v>
      </c>
      <c r="C27" s="1477">
        <f t="shared" si="23"/>
        <v>266.90568668459315</v>
      </c>
      <c r="D27" s="1477">
        <f t="shared" si="18"/>
        <v>266.90568668459315</v>
      </c>
      <c r="E27" s="1477">
        <f t="shared" ref="E27:F29" si="24">E26/(1+P26)</f>
        <v>436.47622852576905</v>
      </c>
      <c r="F27" s="1477">
        <f t="shared" si="24"/>
        <v>234.90930716622066</v>
      </c>
      <c r="G27" s="3292"/>
      <c r="H27" s="1492">
        <v>3</v>
      </c>
      <c r="I27" s="1492">
        <v>0.83</v>
      </c>
      <c r="J27" s="1492">
        <v>1.47</v>
      </c>
      <c r="K27" s="1492">
        <v>0.65</v>
      </c>
      <c r="L27" s="1493">
        <v>0.72</v>
      </c>
      <c r="N27" s="1472">
        <f t="shared" si="20"/>
        <v>8.3000000000000001E-3</v>
      </c>
      <c r="O27" s="1473">
        <f t="shared" si="16"/>
        <v>1.47E-2</v>
      </c>
      <c r="P27" s="1473">
        <f t="shared" si="16"/>
        <v>6.5000000000000006E-3</v>
      </c>
      <c r="Q27" s="1473">
        <f t="shared" si="16"/>
        <v>7.1999999999999998E-3</v>
      </c>
      <c r="R27" s="1474"/>
      <c r="S27" s="1472"/>
      <c r="T27" s="1473"/>
      <c r="U27" s="1473"/>
      <c r="V27" s="1473"/>
      <c r="X27" s="1459">
        <f>ROUND(SUMPRODUCT(PRODUCT(1+N27:N$28)),4)</f>
        <v>1.0325</v>
      </c>
      <c r="Y27" s="1459">
        <f>ROUND(SUMPRODUCT(PRODUCT(1+O27:O$28)),4)</f>
        <v>1.0353000000000001</v>
      </c>
      <c r="Z27" s="1459">
        <f>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 thickBot="1">
      <c r="A28" s="1461" t="s">
        <v>145</v>
      </c>
      <c r="B28" s="1477">
        <f t="shared" si="23"/>
        <v>314.72141172386546</v>
      </c>
      <c r="C28" s="1477">
        <f t="shared" si="23"/>
        <v>263.03901319069001</v>
      </c>
      <c r="D28" s="1477">
        <f t="shared" si="18"/>
        <v>263.03901319069001</v>
      </c>
      <c r="E28" s="1477">
        <f t="shared" si="24"/>
        <v>433.65745506782821</v>
      </c>
      <c r="F28" s="1477">
        <f t="shared" si="24"/>
        <v>233.23005080045735</v>
      </c>
      <c r="G28" s="3292"/>
      <c r="H28" s="1482">
        <v>2</v>
      </c>
      <c r="I28" s="1482">
        <v>2.4</v>
      </c>
      <c r="J28" s="1482">
        <v>2.0299999999999998</v>
      </c>
      <c r="K28" s="1482">
        <v>2.59</v>
      </c>
      <c r="L28" s="1483">
        <v>1.52</v>
      </c>
      <c r="N28" s="1472">
        <f t="shared" si="20"/>
        <v>2.4E-2</v>
      </c>
      <c r="O28" s="1473">
        <f t="shared" si="16"/>
        <v>2.0299999999999999E-2</v>
      </c>
      <c r="P28" s="1473">
        <f t="shared" si="16"/>
        <v>2.5899999999999999E-2</v>
      </c>
      <c r="Q28" s="1473">
        <f t="shared" si="16"/>
        <v>1.52E-2</v>
      </c>
      <c r="R28" s="1474"/>
      <c r="S28" s="1472"/>
      <c r="T28" s="1473"/>
      <c r="U28" s="1473"/>
      <c r="V28" s="1473"/>
      <c r="X28" s="1459">
        <f>1+N28</f>
        <v>1.024</v>
      </c>
      <c r="Y28" s="1459">
        <f>1+O28</f>
        <v>1.0203</v>
      </c>
      <c r="Z28" s="1459">
        <f>Y28</f>
        <v>1.0203</v>
      </c>
      <c r="AA28" s="1459">
        <f>1+P28</f>
        <v>1.0259</v>
      </c>
      <c r="AB28" s="1459">
        <f>1+Q28</f>
        <v>1.0152000000000001</v>
      </c>
      <c r="AD28" s="1460">
        <f>ROUND(AVERAGE(I28:I$29)/100,4)</f>
        <v>2.69E-2</v>
      </c>
      <c r="AE28" s="1460">
        <f>ROUND(AVERAGE(J28:J$29)/100,4)</f>
        <v>2.1899999999999999E-2</v>
      </c>
      <c r="AF28" s="1460">
        <f>AE28</f>
        <v>2.1899999999999999E-2</v>
      </c>
      <c r="AG28" s="1460">
        <f>ROUND(AVERAGE(K28:K$29)/100,4)</f>
        <v>2.9399999999999999E-2</v>
      </c>
      <c r="AH28" s="1460">
        <f>ROUND(AVERAGE(L28:L$29)/100,4)</f>
        <v>1.44E-2</v>
      </c>
    </row>
    <row r="29" spans="1:34" s="1498" customFormat="1" ht="13.5" thickBot="1">
      <c r="A29" s="1494" t="s">
        <v>144</v>
      </c>
      <c r="B29" s="1495">
        <f t="shared" si="23"/>
        <v>307.34512863658733</v>
      </c>
      <c r="C29" s="1495">
        <f t="shared" si="23"/>
        <v>257.80556031626975</v>
      </c>
      <c r="D29" s="1495">
        <f t="shared" si="18"/>
        <v>257.80556031626975</v>
      </c>
      <c r="E29" s="1495">
        <f t="shared" si="24"/>
        <v>422.70928459677179</v>
      </c>
      <c r="F29" s="1495">
        <f t="shared" si="24"/>
        <v>229.73803270336617</v>
      </c>
      <c r="G29" s="3293"/>
      <c r="H29" s="1496">
        <v>1</v>
      </c>
      <c r="I29" s="1496">
        <v>2.97</v>
      </c>
      <c r="J29" s="1496">
        <v>2.34</v>
      </c>
      <c r="K29" s="1496">
        <v>3.28</v>
      </c>
      <c r="L29" s="1497">
        <v>1.36</v>
      </c>
      <c r="N29" s="1499">
        <f t="shared" si="20"/>
        <v>2.9700000000000001E-2</v>
      </c>
      <c r="O29" s="1500">
        <f t="shared" si="16"/>
        <v>2.3399999999999997E-2</v>
      </c>
      <c r="P29" s="1500">
        <f t="shared" si="16"/>
        <v>3.2799999999999996E-2</v>
      </c>
      <c r="Q29" s="1500">
        <f t="shared" si="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1" t="s">
        <v>1158</v>
      </c>
      <c r="B30" s="1469">
        <v>299</v>
      </c>
      <c r="C30" s="1469">
        <v>252</v>
      </c>
      <c r="D30" s="1469">
        <f t="shared" si="18"/>
        <v>252</v>
      </c>
      <c r="E30" s="1469">
        <v>409</v>
      </c>
      <c r="F30" s="1470">
        <v>227</v>
      </c>
      <c r="G30" s="3298">
        <v>2013</v>
      </c>
      <c r="H30" s="1506">
        <v>4</v>
      </c>
      <c r="I30" s="1506">
        <v>1.83</v>
      </c>
      <c r="J30" s="1506">
        <v>1.68</v>
      </c>
      <c r="K30" s="1506">
        <v>1.97</v>
      </c>
      <c r="L30" s="1507">
        <v>0.87</v>
      </c>
      <c r="N30" s="1484">
        <f t="shared" si="20"/>
        <v>1.83E-2</v>
      </c>
      <c r="O30" s="1485">
        <f t="shared" si="16"/>
        <v>1.6799999999999999E-2</v>
      </c>
      <c r="P30" s="1485">
        <f t="shared" si="16"/>
        <v>1.9699999999999999E-2</v>
      </c>
      <c r="Q30" s="1485">
        <f t="shared" si="16"/>
        <v>8.6999999999999994E-3</v>
      </c>
      <c r="R30" s="1474"/>
      <c r="S30" s="1475"/>
      <c r="T30" s="1476"/>
      <c r="U30" s="1476"/>
      <c r="V30" s="1476"/>
      <c r="X30" s="1476"/>
      <c r="Y30" s="1476"/>
      <c r="Z30" s="1476"/>
    </row>
    <row r="31" spans="1:34">
      <c r="A31" s="1461" t="s">
        <v>1159</v>
      </c>
      <c r="B31" s="1477">
        <f t="shared" ref="B31:C33" si="25">B30/(1+N30)</f>
        <v>293.62663262299913</v>
      </c>
      <c r="C31" s="1477">
        <f t="shared" si="25"/>
        <v>247.83634933123525</v>
      </c>
      <c r="D31" s="1477">
        <f t="shared" si="18"/>
        <v>247.83634933123525</v>
      </c>
      <c r="E31" s="1477">
        <f t="shared" ref="E31:F33" si="26">E30/(1+P30)</f>
        <v>401.09836226341076</v>
      </c>
      <c r="F31" s="1477">
        <f t="shared" si="26"/>
        <v>225.04213343908003</v>
      </c>
      <c r="G31" s="3299"/>
      <c r="H31" s="1487">
        <v>3</v>
      </c>
      <c r="I31" s="1487">
        <v>1.86</v>
      </c>
      <c r="J31" s="1487">
        <v>1.72</v>
      </c>
      <c r="K31" s="1487">
        <v>1.98</v>
      </c>
      <c r="L31" s="1488">
        <v>0.88</v>
      </c>
      <c r="N31" s="1472">
        <f t="shared" si="20"/>
        <v>1.8600000000000002E-2</v>
      </c>
      <c r="O31" s="1489">
        <f t="shared" si="16"/>
        <v>1.72E-2</v>
      </c>
      <c r="P31" s="1489">
        <f t="shared" si="16"/>
        <v>1.9799999999999998E-2</v>
      </c>
      <c r="Q31" s="1489">
        <f t="shared" si="16"/>
        <v>8.8000000000000005E-3</v>
      </c>
      <c r="R31" s="1474"/>
      <c r="S31" s="1472"/>
      <c r="T31" s="1473"/>
      <c r="U31" s="1473"/>
      <c r="V31" s="1473"/>
    </row>
    <row r="32" spans="1:34" ht="13">
      <c r="A32" s="1461" t="s">
        <v>1160</v>
      </c>
      <c r="B32" s="1477">
        <f t="shared" si="25"/>
        <v>288.2649053828776</v>
      </c>
      <c r="C32" s="1477">
        <f t="shared" si="25"/>
        <v>243.64564425013293</v>
      </c>
      <c r="D32" s="1477">
        <f t="shared" si="18"/>
        <v>243.64564425013293</v>
      </c>
      <c r="E32" s="1477">
        <f t="shared" si="26"/>
        <v>393.31080825986544</v>
      </c>
      <c r="F32" s="1477">
        <f t="shared" si="26"/>
        <v>223.07903790551154</v>
      </c>
      <c r="G32" s="3299"/>
      <c r="H32" s="1465">
        <v>2</v>
      </c>
      <c r="I32" s="1465">
        <v>2.04</v>
      </c>
      <c r="J32" s="1465">
        <v>2.33</v>
      </c>
      <c r="K32" s="1465">
        <v>2.0699999999999998</v>
      </c>
      <c r="L32" s="1479">
        <v>0.69</v>
      </c>
      <c r="N32" s="1472">
        <f t="shared" si="20"/>
        <v>2.0400000000000001E-2</v>
      </c>
      <c r="O32" s="1489">
        <f t="shared" si="16"/>
        <v>2.3300000000000001E-2</v>
      </c>
      <c r="P32" s="1489">
        <f t="shared" si="16"/>
        <v>2.07E-2</v>
      </c>
      <c r="Q32" s="1489">
        <f t="shared" si="16"/>
        <v>6.8999999999999999E-3</v>
      </c>
      <c r="R32" s="1474"/>
      <c r="S32" s="1472"/>
      <c r="T32" s="1473"/>
      <c r="U32" s="1473"/>
      <c r="V32" s="1473"/>
      <c r="X32" s="1508"/>
      <c r="Y32" s="1509"/>
    </row>
    <row r="33" spans="1:26">
      <c r="A33" s="1461" t="s">
        <v>1161</v>
      </c>
      <c r="B33" s="1477">
        <f t="shared" si="25"/>
        <v>282.50186729015837</v>
      </c>
      <c r="C33" s="1477">
        <f t="shared" si="25"/>
        <v>238.09796174155468</v>
      </c>
      <c r="D33" s="1477">
        <f t="shared" si="18"/>
        <v>238.09796174155468</v>
      </c>
      <c r="E33" s="1477">
        <f t="shared" si="26"/>
        <v>385.33438646014054</v>
      </c>
      <c r="F33" s="1477">
        <f t="shared" si="26"/>
        <v>221.55034055567739</v>
      </c>
      <c r="G33" s="3300"/>
      <c r="H33" s="1464">
        <v>1</v>
      </c>
      <c r="I33" s="1464">
        <v>1.67</v>
      </c>
      <c r="J33" s="1464">
        <v>1.31</v>
      </c>
      <c r="K33" s="1464">
        <v>1.85</v>
      </c>
      <c r="L33" s="1478">
        <v>0.96</v>
      </c>
      <c r="N33" s="1480">
        <f t="shared" si="20"/>
        <v>1.67E-2</v>
      </c>
      <c r="O33" s="1481">
        <f t="shared" si="20"/>
        <v>1.3100000000000001E-2</v>
      </c>
      <c r="P33" s="1481">
        <f t="shared" si="20"/>
        <v>1.8500000000000003E-2</v>
      </c>
      <c r="Q33" s="1481">
        <f t="shared" si="20"/>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8"/>
        <v>234</v>
      </c>
      <c r="E34" s="1511">
        <v>379</v>
      </c>
      <c r="F34" s="1512">
        <v>220</v>
      </c>
      <c r="G34" s="3291">
        <v>2012</v>
      </c>
      <c r="H34" s="1482">
        <v>4</v>
      </c>
      <c r="I34" s="1482">
        <v>0.91</v>
      </c>
      <c r="J34" s="1482">
        <v>0.68</v>
      </c>
      <c r="K34" s="1482">
        <v>0.98</v>
      </c>
      <c r="L34" s="1483">
        <v>0.9</v>
      </c>
      <c r="N34" s="1472">
        <f t="shared" si="20"/>
        <v>9.1000000000000004E-3</v>
      </c>
      <c r="O34" s="1473">
        <f t="shared" si="20"/>
        <v>6.8000000000000005E-3</v>
      </c>
      <c r="P34" s="1473">
        <f t="shared" si="20"/>
        <v>9.7999999999999997E-3</v>
      </c>
      <c r="Q34" s="1473">
        <f t="shared" si="20"/>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8"/>
        <v>232.41954707985698</v>
      </c>
      <c r="E35" s="1477">
        <f t="shared" ref="E35:F37" si="27">E34/(1+P34)</f>
        <v>375.32184591008121</v>
      </c>
      <c r="F35" s="1477">
        <f t="shared" si="27"/>
        <v>218.03766105054513</v>
      </c>
      <c r="G35" s="3292"/>
      <c r="H35" s="1487">
        <v>3</v>
      </c>
      <c r="I35" s="1487">
        <v>0.09</v>
      </c>
      <c r="J35" s="1487">
        <v>0.28999999999999998</v>
      </c>
      <c r="K35" s="1487">
        <v>-0.01</v>
      </c>
      <c r="L35" s="1488">
        <v>0.57999999999999996</v>
      </c>
      <c r="N35" s="1472">
        <f t="shared" si="20"/>
        <v>8.9999999999999998E-4</v>
      </c>
      <c r="O35" s="1473">
        <f t="shared" si="20"/>
        <v>2.8999999999999998E-3</v>
      </c>
      <c r="P35" s="1473">
        <f t="shared" si="20"/>
        <v>-1E-4</v>
      </c>
      <c r="Q35" s="1473">
        <f t="shared" si="20"/>
        <v>5.7999999999999996E-3</v>
      </c>
      <c r="R35" s="1474"/>
      <c r="S35" s="1472"/>
      <c r="T35" s="1473"/>
      <c r="U35" s="1473"/>
      <c r="V35" s="1473"/>
    </row>
    <row r="36" spans="1:26">
      <c r="A36" s="1461" t="s">
        <v>1164</v>
      </c>
      <c r="B36" s="1477">
        <f>B35/(1+N35)</f>
        <v>275.24529281292263</v>
      </c>
      <c r="C36" s="1477">
        <f>C35/(1+O35)</f>
        <v>231.74747938962707</v>
      </c>
      <c r="D36" s="1477">
        <f t="shared" si="18"/>
        <v>231.74747938962707</v>
      </c>
      <c r="E36" s="1477">
        <f t="shared" si="27"/>
        <v>375.35938184826603</v>
      </c>
      <c r="F36" s="1477">
        <f t="shared" si="27"/>
        <v>216.78033510692495</v>
      </c>
      <c r="G36" s="3292"/>
      <c r="H36" s="1465">
        <v>2</v>
      </c>
      <c r="I36" s="1465">
        <v>0.02</v>
      </c>
      <c r="J36" s="1465">
        <v>0.12</v>
      </c>
      <c r="K36" s="1465">
        <v>-0.08</v>
      </c>
      <c r="L36" s="1479">
        <v>1.24</v>
      </c>
      <c r="N36" s="1472">
        <f t="shared" si="20"/>
        <v>2.0000000000000001E-4</v>
      </c>
      <c r="O36" s="1473">
        <f t="shared" si="20"/>
        <v>1.1999999999999999E-3</v>
      </c>
      <c r="P36" s="1473">
        <f t="shared" si="20"/>
        <v>-8.0000000000000004E-4</v>
      </c>
      <c r="Q36" s="1473">
        <f t="shared" si="20"/>
        <v>1.24E-2</v>
      </c>
      <c r="R36" s="1474"/>
      <c r="S36" s="1472"/>
      <c r="T36" s="1473"/>
      <c r="U36" s="1473"/>
      <c r="V36" s="1473"/>
    </row>
    <row r="37" spans="1:26" ht="13" thickBot="1">
      <c r="A37" s="1461" t="s">
        <v>1165</v>
      </c>
      <c r="B37" s="1477">
        <f>B36/(1+N36)</f>
        <v>275.19025476197027</v>
      </c>
      <c r="C37" s="1513">
        <v>232</v>
      </c>
      <c r="D37" s="1513">
        <f t="shared" si="18"/>
        <v>232</v>
      </c>
      <c r="E37" s="1477">
        <f t="shared" si="27"/>
        <v>375.65990977608692</v>
      </c>
      <c r="F37" s="1477">
        <f t="shared" si="27"/>
        <v>214.12518283971252</v>
      </c>
      <c r="G37" s="3293"/>
      <c r="H37" s="1464">
        <v>1</v>
      </c>
      <c r="I37" s="1464">
        <v>0.02</v>
      </c>
      <c r="J37" s="1464">
        <v>0.13</v>
      </c>
      <c r="K37" s="1464">
        <v>-0.04</v>
      </c>
      <c r="L37" s="1478">
        <v>0.46</v>
      </c>
      <c r="N37" s="1472">
        <f t="shared" si="20"/>
        <v>2.0000000000000001E-4</v>
      </c>
      <c r="O37" s="1473">
        <f t="shared" si="20"/>
        <v>1.2999999999999999E-3</v>
      </c>
      <c r="P37" s="1473">
        <f t="shared" si="20"/>
        <v>-4.0000000000000002E-4</v>
      </c>
      <c r="Q37" s="1473">
        <f t="shared" si="20"/>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8"/>
        <v>232</v>
      </c>
      <c r="E38" s="1469">
        <v>376</v>
      </c>
      <c r="F38" s="1470">
        <v>213</v>
      </c>
      <c r="G38" s="3291">
        <v>2011</v>
      </c>
      <c r="H38" s="1482">
        <v>4</v>
      </c>
      <c r="I38" s="1482">
        <v>-0.2</v>
      </c>
      <c r="J38" s="1482">
        <v>0.04</v>
      </c>
      <c r="K38" s="1482">
        <v>-0.34</v>
      </c>
      <c r="L38" s="1483">
        <v>0.46</v>
      </c>
      <c r="N38" s="1484">
        <f t="shared" si="20"/>
        <v>-2E-3</v>
      </c>
      <c r="O38" s="1485">
        <f t="shared" si="20"/>
        <v>4.0000000000000002E-4</v>
      </c>
      <c r="P38" s="1485">
        <f t="shared" si="20"/>
        <v>-3.4000000000000002E-3</v>
      </c>
      <c r="Q38" s="1485">
        <f t="shared" si="20"/>
        <v>4.5999999999999999E-3</v>
      </c>
      <c r="R38" s="1474"/>
      <c r="S38" s="1475"/>
      <c r="T38" s="1476"/>
      <c r="U38" s="1476"/>
      <c r="V38" s="1476"/>
      <c r="X38" s="1476"/>
      <c r="Y38" s="1476"/>
      <c r="Z38" s="1476"/>
    </row>
    <row r="39" spans="1:26">
      <c r="A39" s="1461" t="s">
        <v>1167</v>
      </c>
      <c r="B39" s="1477">
        <f t="shared" ref="B39:C41" si="28">B38/(1+N38)</f>
        <v>275.55110220440883</v>
      </c>
      <c r="C39" s="1477">
        <f t="shared" si="28"/>
        <v>231.90723710515795</v>
      </c>
      <c r="D39" s="1477">
        <f t="shared" si="18"/>
        <v>231.90723710515795</v>
      </c>
      <c r="E39" s="1477">
        <f t="shared" ref="E39:F41" si="29">E38/(1+P38)</f>
        <v>377.28276138872161</v>
      </c>
      <c r="F39" s="1477">
        <f t="shared" si="29"/>
        <v>212.02468644236512</v>
      </c>
      <c r="G39" s="3292">
        <v>2011</v>
      </c>
      <c r="H39" s="1487">
        <v>3</v>
      </c>
      <c r="I39" s="1487">
        <v>0.13</v>
      </c>
      <c r="J39" s="1487">
        <v>0.75</v>
      </c>
      <c r="K39" s="1487">
        <v>-0.08</v>
      </c>
      <c r="L39" s="1488">
        <v>0.53</v>
      </c>
      <c r="N39" s="1472">
        <f t="shared" si="20"/>
        <v>1.2999999999999999E-3</v>
      </c>
      <c r="O39" s="1489">
        <f t="shared" si="20"/>
        <v>7.4999999999999997E-3</v>
      </c>
      <c r="P39" s="1489">
        <f t="shared" si="20"/>
        <v>-8.0000000000000004E-4</v>
      </c>
      <c r="Q39" s="1489">
        <f t="shared" si="20"/>
        <v>5.3E-3</v>
      </c>
      <c r="R39" s="1474"/>
      <c r="S39" s="1472"/>
      <c r="T39" s="1473"/>
      <c r="U39" s="1473"/>
      <c r="V39" s="1473"/>
    </row>
    <row r="40" spans="1:26">
      <c r="A40" s="1461" t="s">
        <v>1168</v>
      </c>
      <c r="B40" s="1477">
        <f t="shared" si="28"/>
        <v>275.19335084830601</v>
      </c>
      <c r="C40" s="1477">
        <f t="shared" si="28"/>
        <v>230.18088050139744</v>
      </c>
      <c r="D40" s="1477">
        <f t="shared" si="18"/>
        <v>230.18088050139744</v>
      </c>
      <c r="E40" s="1477">
        <f t="shared" si="29"/>
        <v>377.58482925212331</v>
      </c>
      <c r="F40" s="1477">
        <f t="shared" si="29"/>
        <v>210.90687997847917</v>
      </c>
      <c r="G40" s="3292">
        <v>2011</v>
      </c>
      <c r="H40" s="1465">
        <v>2</v>
      </c>
      <c r="I40" s="1465">
        <v>-0.4</v>
      </c>
      <c r="J40" s="1465">
        <v>0.17</v>
      </c>
      <c r="K40" s="1465">
        <v>-0.57999999999999996</v>
      </c>
      <c r="L40" s="1479">
        <v>-0.2</v>
      </c>
      <c r="N40" s="1472">
        <f t="shared" si="20"/>
        <v>-4.0000000000000001E-3</v>
      </c>
      <c r="O40" s="1489">
        <f t="shared" si="20"/>
        <v>1.7000000000000001E-3</v>
      </c>
      <c r="P40" s="1489">
        <f t="shared" si="20"/>
        <v>-5.7999999999999996E-3</v>
      </c>
      <c r="Q40" s="1489">
        <f t="shared" si="20"/>
        <v>-2E-3</v>
      </c>
      <c r="R40" s="1474"/>
      <c r="S40" s="1472"/>
      <c r="T40" s="1473"/>
      <c r="U40" s="1473"/>
      <c r="V40" s="1473"/>
    </row>
    <row r="41" spans="1:26" ht="13" thickBot="1">
      <c r="A41" s="1461" t="s">
        <v>1169</v>
      </c>
      <c r="B41" s="1477">
        <f t="shared" si="28"/>
        <v>276.29854502841971</v>
      </c>
      <c r="C41" s="1477">
        <f t="shared" si="28"/>
        <v>229.79023709833027</v>
      </c>
      <c r="D41" s="1477">
        <f t="shared" si="18"/>
        <v>229.79023709833027</v>
      </c>
      <c r="E41" s="1477">
        <f t="shared" si="29"/>
        <v>379.78759731655936</v>
      </c>
      <c r="F41" s="1477">
        <f t="shared" si="29"/>
        <v>211.32953905659235</v>
      </c>
      <c r="G41" s="3293">
        <v>2011</v>
      </c>
      <c r="H41" s="1464">
        <v>1</v>
      </c>
      <c r="I41" s="1464">
        <v>2.65</v>
      </c>
      <c r="J41" s="1464">
        <v>3.76</v>
      </c>
      <c r="K41" s="1464">
        <v>1.89</v>
      </c>
      <c r="L41" s="1478">
        <v>7.95</v>
      </c>
      <c r="N41" s="1480">
        <f t="shared" si="20"/>
        <v>2.6499999999999999E-2</v>
      </c>
      <c r="O41" s="1481">
        <f t="shared" si="20"/>
        <v>3.7599999999999995E-2</v>
      </c>
      <c r="P41" s="1481">
        <f t="shared" si="20"/>
        <v>1.89E-2</v>
      </c>
      <c r="Q41" s="1481">
        <f t="shared" si="20"/>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8"/>
        <v>221</v>
      </c>
      <c r="E42" s="1469">
        <v>373</v>
      </c>
      <c r="F42" s="1470">
        <v>196</v>
      </c>
      <c r="G42" s="3291">
        <v>2010</v>
      </c>
      <c r="H42" s="1482">
        <v>4</v>
      </c>
      <c r="I42" s="1482">
        <v>5.72</v>
      </c>
      <c r="J42" s="1482">
        <v>6.57</v>
      </c>
      <c r="K42" s="1482">
        <v>5.72</v>
      </c>
      <c r="L42" s="1483">
        <v>2.72</v>
      </c>
      <c r="N42" s="1472">
        <f t="shared" si="20"/>
        <v>5.7200000000000001E-2</v>
      </c>
      <c r="O42" s="1473">
        <f t="shared" si="20"/>
        <v>6.5700000000000008E-2</v>
      </c>
      <c r="P42" s="1473">
        <f t="shared" si="20"/>
        <v>5.7200000000000001E-2</v>
      </c>
      <c r="Q42" s="1473">
        <f t="shared" si="20"/>
        <v>2.7200000000000002E-2</v>
      </c>
      <c r="R42" s="1474"/>
      <c r="S42" s="1475"/>
      <c r="T42" s="1476"/>
      <c r="U42" s="1476"/>
      <c r="V42" s="1476"/>
      <c r="X42" s="1476"/>
      <c r="Y42" s="1476"/>
      <c r="Z42" s="1476"/>
    </row>
    <row r="43" spans="1:26">
      <c r="A43" s="1461" t="s">
        <v>1171</v>
      </c>
      <c r="B43" s="1477">
        <f t="shared" ref="B43:C45" si="30">B42/(1+N42)</f>
        <v>254.44570563753314</v>
      </c>
      <c r="C43" s="1477">
        <f t="shared" si="30"/>
        <v>207.37543398705074</v>
      </c>
      <c r="D43" s="1477">
        <f t="shared" si="18"/>
        <v>207.37543398705074</v>
      </c>
      <c r="E43" s="1477">
        <f t="shared" ref="E43:F45" si="31">E42/(1+P42)</f>
        <v>352.81876655315932</v>
      </c>
      <c r="F43" s="1477">
        <f t="shared" si="31"/>
        <v>190.809968847352</v>
      </c>
      <c r="G43" s="3292">
        <v>2010</v>
      </c>
      <c r="H43" s="1487">
        <v>3</v>
      </c>
      <c r="I43" s="1487">
        <v>4.7300000000000004</v>
      </c>
      <c r="J43" s="1487">
        <v>3.9</v>
      </c>
      <c r="K43" s="1487">
        <v>5.03</v>
      </c>
      <c r="L43" s="1488">
        <v>4.21</v>
      </c>
      <c r="N43" s="1472">
        <f t="shared" si="20"/>
        <v>4.7300000000000002E-2</v>
      </c>
      <c r="O43" s="1473">
        <f t="shared" si="20"/>
        <v>3.9E-2</v>
      </c>
      <c r="P43" s="1473">
        <f t="shared" si="20"/>
        <v>5.0300000000000004E-2</v>
      </c>
      <c r="Q43" s="1473">
        <f t="shared" si="20"/>
        <v>4.2099999999999999E-2</v>
      </c>
      <c r="R43" s="1474"/>
      <c r="S43" s="1472"/>
      <c r="T43" s="1473"/>
      <c r="U43" s="1473"/>
      <c r="V43" s="1473"/>
    </row>
    <row r="44" spans="1:26">
      <c r="A44" s="1461" t="s">
        <v>1172</v>
      </c>
      <c r="B44" s="1477">
        <f t="shared" si="30"/>
        <v>242.95398227588385</v>
      </c>
      <c r="C44" s="1477">
        <f t="shared" si="30"/>
        <v>199.59137053614126</v>
      </c>
      <c r="D44" s="1477">
        <f t="shared" si="18"/>
        <v>199.59137053614126</v>
      </c>
      <c r="E44" s="1477">
        <f t="shared" si="31"/>
        <v>335.92189522342125</v>
      </c>
      <c r="F44" s="1477">
        <f t="shared" si="31"/>
        <v>183.10139991109489</v>
      </c>
      <c r="G44" s="3292">
        <v>2010</v>
      </c>
      <c r="H44" s="1465">
        <v>2</v>
      </c>
      <c r="I44" s="1465">
        <v>4.6900000000000004</v>
      </c>
      <c r="J44" s="1465">
        <v>3.55</v>
      </c>
      <c r="K44" s="1465">
        <v>5.07</v>
      </c>
      <c r="L44" s="1479">
        <v>4.2300000000000004</v>
      </c>
      <c r="N44" s="1472">
        <f t="shared" si="20"/>
        <v>4.6900000000000004E-2</v>
      </c>
      <c r="O44" s="1473">
        <f t="shared" si="20"/>
        <v>3.5499999999999997E-2</v>
      </c>
      <c r="P44" s="1473">
        <f t="shared" si="20"/>
        <v>5.0700000000000002E-2</v>
      </c>
      <c r="Q44" s="1473">
        <f t="shared" si="20"/>
        <v>4.2300000000000004E-2</v>
      </c>
      <c r="R44" s="1474"/>
      <c r="S44" s="1472"/>
      <c r="T44" s="1473"/>
      <c r="U44" s="1473"/>
      <c r="V44" s="1473"/>
    </row>
    <row r="45" spans="1:26" ht="13" thickBot="1">
      <c r="A45" s="1461" t="s">
        <v>1173</v>
      </c>
      <c r="B45" s="1477">
        <f t="shared" si="30"/>
        <v>232.06990378821649</v>
      </c>
      <c r="C45" s="1477">
        <f t="shared" si="30"/>
        <v>192.74878854286936</v>
      </c>
      <c r="D45" s="1477">
        <f t="shared" si="18"/>
        <v>192.74878854286936</v>
      </c>
      <c r="E45" s="1477">
        <f t="shared" si="31"/>
        <v>319.71247284992984</v>
      </c>
      <c r="F45" s="1477">
        <f t="shared" si="31"/>
        <v>175.67053622862409</v>
      </c>
      <c r="G45" s="3293">
        <v>2010</v>
      </c>
      <c r="H45" s="1464">
        <v>1</v>
      </c>
      <c r="I45" s="1464">
        <v>5.4</v>
      </c>
      <c r="J45" s="1464">
        <v>3.2</v>
      </c>
      <c r="K45" s="1464">
        <v>6.16</v>
      </c>
      <c r="L45" s="1478">
        <v>4.51</v>
      </c>
      <c r="N45" s="1472">
        <f t="shared" si="20"/>
        <v>5.4000000000000006E-2</v>
      </c>
      <c r="O45" s="1473">
        <f t="shared" si="20"/>
        <v>3.2000000000000001E-2</v>
      </c>
      <c r="P45" s="1473">
        <f t="shared" si="20"/>
        <v>6.1600000000000002E-2</v>
      </c>
      <c r="Q45" s="1473">
        <f t="shared" si="20"/>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8"/>
        <v>187</v>
      </c>
      <c r="E46" s="1469">
        <v>301</v>
      </c>
      <c r="F46" s="1470">
        <v>168</v>
      </c>
      <c r="G46" s="3291">
        <v>2009</v>
      </c>
      <c r="H46" s="1482">
        <v>4</v>
      </c>
      <c r="I46" s="1482">
        <v>2.2999999999999998</v>
      </c>
      <c r="J46" s="1482">
        <v>1.04</v>
      </c>
      <c r="K46" s="1482">
        <v>2.84</v>
      </c>
      <c r="L46" s="1483">
        <v>0.67</v>
      </c>
      <c r="N46" s="1484">
        <f t="shared" si="20"/>
        <v>2.3E-2</v>
      </c>
      <c r="O46" s="1485">
        <f t="shared" si="20"/>
        <v>1.04E-2</v>
      </c>
      <c r="P46" s="1485">
        <f t="shared" si="20"/>
        <v>2.8399999999999998E-2</v>
      </c>
      <c r="Q46" s="1485">
        <f t="shared" si="20"/>
        <v>6.7000000000000002E-3</v>
      </c>
      <c r="R46" s="1474"/>
      <c r="S46" s="1475"/>
      <c r="T46" s="1476"/>
      <c r="U46" s="1476"/>
      <c r="V46" s="1476"/>
      <c r="X46" s="1476"/>
      <c r="Y46" s="1476"/>
      <c r="Z46" s="1476"/>
    </row>
    <row r="47" spans="1:26">
      <c r="A47" s="1461" t="s">
        <v>1175</v>
      </c>
      <c r="B47" s="1477">
        <f t="shared" ref="B47:C49" si="32">B46/(1+N46)</f>
        <v>215.05376344086022</v>
      </c>
      <c r="C47" s="1477">
        <f t="shared" si="32"/>
        <v>185.0752177355503</v>
      </c>
      <c r="D47" s="1477">
        <f t="shared" si="18"/>
        <v>185.0752177355503</v>
      </c>
      <c r="E47" s="1477">
        <f t="shared" ref="E47:F49" si="33">E46/(1+P46)</f>
        <v>292.68767016725008</v>
      </c>
      <c r="F47" s="1477">
        <f t="shared" si="33"/>
        <v>166.88189132810174</v>
      </c>
      <c r="G47" s="3292">
        <v>2009</v>
      </c>
      <c r="H47" s="1487">
        <v>3</v>
      </c>
      <c r="I47" s="1487">
        <v>2.1</v>
      </c>
      <c r="J47" s="1487">
        <v>1.86</v>
      </c>
      <c r="K47" s="1487">
        <v>2.29</v>
      </c>
      <c r="L47" s="1488">
        <v>0.85</v>
      </c>
      <c r="N47" s="1472">
        <f t="shared" si="20"/>
        <v>2.1000000000000001E-2</v>
      </c>
      <c r="O47" s="1489">
        <f t="shared" si="20"/>
        <v>1.8600000000000002E-2</v>
      </c>
      <c r="P47" s="1489">
        <f t="shared" si="20"/>
        <v>2.29E-2</v>
      </c>
      <c r="Q47" s="1489">
        <f t="shared" si="20"/>
        <v>8.5000000000000006E-3</v>
      </c>
      <c r="R47" s="1474"/>
      <c r="S47" s="1472"/>
      <c r="T47" s="1473"/>
      <c r="U47" s="1473"/>
      <c r="V47" s="1473"/>
    </row>
    <row r="48" spans="1:26">
      <c r="A48" s="1461" t="s">
        <v>1176</v>
      </c>
      <c r="B48" s="1477">
        <f t="shared" si="32"/>
        <v>210.630522469011</v>
      </c>
      <c r="C48" s="1477">
        <f t="shared" si="32"/>
        <v>181.69567812247232</v>
      </c>
      <c r="D48" s="1477">
        <f t="shared" si="18"/>
        <v>181.69567812247232</v>
      </c>
      <c r="E48" s="1477">
        <f t="shared" si="33"/>
        <v>286.13517466736738</v>
      </c>
      <c r="F48" s="1477">
        <f t="shared" si="33"/>
        <v>165.47535084591149</v>
      </c>
      <c r="G48" s="3292">
        <v>2009</v>
      </c>
      <c r="H48" s="1465">
        <v>2</v>
      </c>
      <c r="I48" s="1465">
        <v>0.86</v>
      </c>
      <c r="J48" s="1465">
        <v>-1.1299999999999999</v>
      </c>
      <c r="K48" s="1465">
        <v>1.79</v>
      </c>
      <c r="L48" s="1479">
        <v>-2.0699999999999998</v>
      </c>
      <c r="N48" s="1472">
        <f t="shared" si="20"/>
        <v>8.6E-3</v>
      </c>
      <c r="O48" s="1489">
        <f t="shared" si="20"/>
        <v>-1.1299999999999999E-2</v>
      </c>
      <c r="P48" s="1489">
        <f t="shared" si="20"/>
        <v>1.7899999999999999E-2</v>
      </c>
      <c r="Q48" s="1489">
        <f t="shared" si="20"/>
        <v>-2.07E-2</v>
      </c>
      <c r="R48" s="1474"/>
      <c r="S48" s="1472"/>
      <c r="T48" s="1473"/>
      <c r="U48" s="1473"/>
      <c r="V48" s="1473"/>
    </row>
    <row r="49" spans="1:26">
      <c r="A49" s="1461" t="s">
        <v>1177</v>
      </c>
      <c r="B49" s="1477">
        <f t="shared" si="32"/>
        <v>208.83454537875372</v>
      </c>
      <c r="C49" s="1477">
        <f t="shared" si="32"/>
        <v>183.77230517090351</v>
      </c>
      <c r="D49" s="1477">
        <f t="shared" si="18"/>
        <v>183.77230517090351</v>
      </c>
      <c r="E49" s="1477">
        <f t="shared" si="33"/>
        <v>281.10342338870947</v>
      </c>
      <c r="F49" s="1477">
        <f t="shared" si="33"/>
        <v>168.97309388942256</v>
      </c>
      <c r="G49" s="3293">
        <v>2009</v>
      </c>
      <c r="H49" s="1464">
        <v>1</v>
      </c>
      <c r="I49" s="1464">
        <v>-2.64</v>
      </c>
      <c r="J49" s="1464">
        <v>-2.5299999999999998</v>
      </c>
      <c r="K49" s="1464">
        <v>-3.02</v>
      </c>
      <c r="L49" s="1478">
        <v>1.52</v>
      </c>
      <c r="N49" s="1480">
        <f t="shared" si="20"/>
        <v>-2.64E-2</v>
      </c>
      <c r="O49" s="1481">
        <f t="shared" si="20"/>
        <v>-2.53E-2</v>
      </c>
      <c r="P49" s="1481">
        <f t="shared" si="20"/>
        <v>-3.0200000000000001E-2</v>
      </c>
      <c r="Q49" s="1481">
        <f t="shared" si="20"/>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8"/>
        <v>188</v>
      </c>
      <c r="E50" s="1511">
        <v>289</v>
      </c>
      <c r="F50" s="1512">
        <v>166</v>
      </c>
      <c r="G50" s="3291">
        <v>2008</v>
      </c>
      <c r="H50" s="1482">
        <v>4</v>
      </c>
      <c r="I50" s="1482">
        <v>1.73</v>
      </c>
      <c r="J50" s="1482">
        <v>0.03</v>
      </c>
      <c r="K50" s="1482">
        <v>2.59</v>
      </c>
      <c r="L50" s="1483">
        <v>-1.66</v>
      </c>
      <c r="N50" s="1472">
        <f t="shared" si="20"/>
        <v>1.7299999999999999E-2</v>
      </c>
      <c r="O50" s="1473">
        <f t="shared" si="20"/>
        <v>2.9999999999999997E-4</v>
      </c>
      <c r="P50" s="1473">
        <f t="shared" si="20"/>
        <v>2.5899999999999999E-2</v>
      </c>
      <c r="Q50" s="1473">
        <f t="shared" si="20"/>
        <v>-1.66E-2</v>
      </c>
      <c r="R50" s="1474"/>
      <c r="S50" s="1475"/>
      <c r="T50" s="1476"/>
      <c r="U50" s="1476"/>
      <c r="V50" s="1476"/>
      <c r="X50" s="1476"/>
      <c r="Y50" s="1476"/>
      <c r="Z50" s="1476"/>
    </row>
    <row r="51" spans="1:26">
      <c r="A51" s="1461" t="s">
        <v>1179</v>
      </c>
      <c r="B51" s="1477">
        <f t="shared" ref="B51:C53" si="34">B50/(1+N50)</f>
        <v>210.36075887152265</v>
      </c>
      <c r="C51" s="1477">
        <f t="shared" si="34"/>
        <v>187.94361691492554</v>
      </c>
      <c r="D51" s="1477">
        <f t="shared" si="18"/>
        <v>187.94361691492554</v>
      </c>
      <c r="E51" s="1477">
        <f t="shared" ref="E51:F53" si="35">E50/(1+P50)</f>
        <v>281.70386977288234</v>
      </c>
      <c r="F51" s="1477">
        <f t="shared" si="35"/>
        <v>168.80211511083994</v>
      </c>
      <c r="G51" s="3292">
        <v>2008</v>
      </c>
      <c r="H51" s="1487">
        <v>3</v>
      </c>
      <c r="I51" s="1487">
        <v>1.96</v>
      </c>
      <c r="J51" s="1487">
        <v>2.36</v>
      </c>
      <c r="K51" s="1487">
        <v>1.82</v>
      </c>
      <c r="L51" s="1488">
        <v>2.2200000000000002</v>
      </c>
      <c r="N51" s="1472">
        <f t="shared" si="20"/>
        <v>1.9599999999999999E-2</v>
      </c>
      <c r="O51" s="1473">
        <f t="shared" si="20"/>
        <v>2.3599999999999999E-2</v>
      </c>
      <c r="P51" s="1473">
        <f t="shared" si="20"/>
        <v>1.8200000000000001E-2</v>
      </c>
      <c r="Q51" s="1473">
        <f t="shared" si="20"/>
        <v>2.2200000000000001E-2</v>
      </c>
      <c r="R51" s="1474"/>
      <c r="S51" s="1472"/>
      <c r="T51" s="1473"/>
      <c r="U51" s="1473"/>
      <c r="V51" s="1473"/>
    </row>
    <row r="52" spans="1:26">
      <c r="A52" s="1461" t="s">
        <v>1180</v>
      </c>
      <c r="B52" s="1477">
        <f t="shared" si="34"/>
        <v>206.31694671589116</v>
      </c>
      <c r="C52" s="1477">
        <f t="shared" si="34"/>
        <v>183.61041121036101</v>
      </c>
      <c r="D52" s="1477">
        <f t="shared" si="18"/>
        <v>183.61041121036101</v>
      </c>
      <c r="E52" s="1477">
        <f t="shared" si="35"/>
        <v>276.66850301795557</v>
      </c>
      <c r="F52" s="1477">
        <f t="shared" si="35"/>
        <v>165.1360938278614</v>
      </c>
      <c r="G52" s="3292">
        <v>2008</v>
      </c>
      <c r="H52" s="1465">
        <v>2</v>
      </c>
      <c r="I52" s="1465">
        <v>4.93</v>
      </c>
      <c r="J52" s="1465">
        <v>7.38</v>
      </c>
      <c r="K52" s="1465">
        <v>3.98</v>
      </c>
      <c r="L52" s="1479">
        <v>6.86</v>
      </c>
      <c r="N52" s="1472">
        <f t="shared" si="20"/>
        <v>4.9299999999999997E-2</v>
      </c>
      <c r="O52" s="1473">
        <f t="shared" si="20"/>
        <v>7.3800000000000004E-2</v>
      </c>
      <c r="P52" s="1473">
        <f t="shared" si="20"/>
        <v>3.9800000000000002E-2</v>
      </c>
      <c r="Q52" s="1473">
        <f t="shared" si="20"/>
        <v>6.8600000000000008E-2</v>
      </c>
      <c r="R52" s="1474"/>
      <c r="S52" s="1472"/>
      <c r="T52" s="1473"/>
      <c r="U52" s="1473"/>
      <c r="V52" s="1473"/>
    </row>
    <row r="53" spans="1:26" s="1517" customFormat="1" ht="13" thickBot="1">
      <c r="A53" s="1461" t="s">
        <v>1181</v>
      </c>
      <c r="B53" s="1514">
        <f t="shared" si="34"/>
        <v>196.62341248059772</v>
      </c>
      <c r="C53" s="1514">
        <f t="shared" si="34"/>
        <v>170.99125648199012</v>
      </c>
      <c r="D53" s="1514">
        <f t="shared" si="18"/>
        <v>170.99125648199012</v>
      </c>
      <c r="E53" s="1514">
        <f t="shared" si="35"/>
        <v>266.07857570490052</v>
      </c>
      <c r="F53" s="1514">
        <f t="shared" si="35"/>
        <v>154.53499328828505</v>
      </c>
      <c r="G53" s="3293">
        <v>2008</v>
      </c>
      <c r="H53" s="1515">
        <v>1</v>
      </c>
      <c r="I53" s="1515">
        <v>4.1399999999999997</v>
      </c>
      <c r="J53" s="1515">
        <v>3.45</v>
      </c>
      <c r="K53" s="1515">
        <v>4.95</v>
      </c>
      <c r="L53" s="1516">
        <v>4.82</v>
      </c>
      <c r="N53" s="1518">
        <f t="shared" si="20"/>
        <v>4.1399999999999999E-2</v>
      </c>
      <c r="O53" s="1519">
        <f t="shared" si="20"/>
        <v>3.4500000000000003E-2</v>
      </c>
      <c r="P53" s="1519">
        <f t="shared" si="20"/>
        <v>4.9500000000000002E-2</v>
      </c>
      <c r="Q53" s="1519">
        <f t="shared" si="20"/>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8"/>
        <v>165</v>
      </c>
      <c r="E54" s="1469">
        <v>254</v>
      </c>
      <c r="F54" s="1470">
        <v>148</v>
      </c>
      <c r="G54" s="3291">
        <v>2007</v>
      </c>
      <c r="H54" s="1522">
        <v>4</v>
      </c>
      <c r="I54" s="1522">
        <v>5.51</v>
      </c>
      <c r="J54" s="1522">
        <v>4.8899999999999997</v>
      </c>
      <c r="K54" s="1522">
        <v>6.43</v>
      </c>
      <c r="L54" s="1523">
        <v>5.36</v>
      </c>
      <c r="N54" s="1524">
        <f t="shared" ref="N54:O57" si="36">B54/B55-1</f>
        <v>4.1339718365245526E-2</v>
      </c>
      <c r="O54" s="1525">
        <f t="shared" si="36"/>
        <v>4.0324492593776018E-2</v>
      </c>
      <c r="P54" s="1525">
        <f t="shared" ref="P54:Q57" si="37">E54/E55-1</f>
        <v>6.1625555347990968E-2</v>
      </c>
      <c r="Q54" s="1525">
        <f t="shared" si="37"/>
        <v>4.6757569250590603E-2</v>
      </c>
      <c r="R54" s="1474"/>
      <c r="S54" s="1475"/>
      <c r="T54" s="1476"/>
      <c r="U54" s="1476"/>
      <c r="V54" s="1476"/>
      <c r="X54" s="1476"/>
      <c r="Y54" s="1476"/>
      <c r="Z54" s="1476"/>
    </row>
    <row r="55" spans="1:26">
      <c r="A55" s="1461" t="s">
        <v>1183</v>
      </c>
      <c r="B55" s="1477">
        <f t="shared" ref="B55:C57" si="38">B56+(B$54-B$58)*I55/SUM(I$54:I$57)</f>
        <v>180.5366651097618</v>
      </c>
      <c r="C55" s="1477">
        <f t="shared" si="38"/>
        <v>158.60435967302453</v>
      </c>
      <c r="D55" s="1477">
        <f t="shared" si="18"/>
        <v>158.60435967302453</v>
      </c>
      <c r="E55" s="1477">
        <f t="shared" ref="E55:F57" si="39">E56+(E$54-E$58)*K55/SUM(K$54:K$57)</f>
        <v>239.25573260785075</v>
      </c>
      <c r="F55" s="1477">
        <f t="shared" si="39"/>
        <v>141.38899430740037</v>
      </c>
      <c r="G55" s="3292">
        <v>2007</v>
      </c>
      <c r="H55" s="1487">
        <v>3</v>
      </c>
      <c r="I55" s="1487">
        <v>8.65</v>
      </c>
      <c r="J55" s="1487">
        <v>8.06</v>
      </c>
      <c r="K55" s="1487">
        <v>9.94</v>
      </c>
      <c r="L55" s="1488">
        <v>5.8</v>
      </c>
      <c r="N55" s="1524">
        <f t="shared" si="36"/>
        <v>6.940217571740015E-2</v>
      </c>
      <c r="O55" s="1525">
        <f t="shared" si="36"/>
        <v>7.1197482471153428E-2</v>
      </c>
      <c r="P55" s="1525">
        <f t="shared" si="37"/>
        <v>0.10529679922579582</v>
      </c>
      <c r="Q55" s="1525">
        <f t="shared" si="37"/>
        <v>5.3292245059512133E-2</v>
      </c>
      <c r="R55" s="1474"/>
      <c r="S55" s="1472"/>
      <c r="T55" s="1473"/>
      <c r="U55" s="1473"/>
      <c r="V55" s="1473"/>
      <c r="X55" s="1526"/>
      <c r="Y55" s="1526"/>
      <c r="Z55" s="1526"/>
    </row>
    <row r="56" spans="1:26">
      <c r="A56" s="1461" t="s">
        <v>1184</v>
      </c>
      <c r="B56" s="1477">
        <f t="shared" si="38"/>
        <v>168.82017748715555</v>
      </c>
      <c r="C56" s="1477">
        <f t="shared" si="38"/>
        <v>148.06267029972753</v>
      </c>
      <c r="D56" s="1477">
        <f t="shared" si="18"/>
        <v>148.06267029972753</v>
      </c>
      <c r="E56" s="1477">
        <f t="shared" si="39"/>
        <v>216.46288379323747</v>
      </c>
      <c r="F56" s="1477">
        <f t="shared" si="39"/>
        <v>134.23529411764704</v>
      </c>
      <c r="G56" s="3292">
        <v>2007</v>
      </c>
      <c r="H56" s="1465">
        <v>2</v>
      </c>
      <c r="I56" s="1465">
        <v>3.67</v>
      </c>
      <c r="J56" s="1465">
        <v>2.3199999999999998</v>
      </c>
      <c r="K56" s="1465">
        <v>5.0199999999999996</v>
      </c>
      <c r="L56" s="1479">
        <v>6.71</v>
      </c>
      <c r="N56" s="1524">
        <f t="shared" si="36"/>
        <v>3.0339138143848032E-2</v>
      </c>
      <c r="O56" s="1525">
        <f t="shared" si="36"/>
        <v>2.0922341588790472E-2</v>
      </c>
      <c r="P56" s="1525">
        <f t="shared" si="37"/>
        <v>5.6164796592717003E-2</v>
      </c>
      <c r="Q56" s="1525">
        <f t="shared" si="37"/>
        <v>6.5704536723887319E-2</v>
      </c>
      <c r="R56" s="1474"/>
      <c r="S56" s="1472"/>
      <c r="T56" s="1473"/>
      <c r="U56" s="1473"/>
      <c r="V56" s="1473"/>
      <c r="X56" s="1526"/>
      <c r="Y56" s="1526"/>
      <c r="Z56" s="1526"/>
    </row>
    <row r="57" spans="1:26">
      <c r="A57" s="1461" t="s">
        <v>1185</v>
      </c>
      <c r="B57" s="1477">
        <f t="shared" si="38"/>
        <v>163.84913591779542</v>
      </c>
      <c r="C57" s="1477">
        <f t="shared" si="38"/>
        <v>145.0283378746594</v>
      </c>
      <c r="D57" s="1477">
        <f t="shared" si="18"/>
        <v>145.0283378746594</v>
      </c>
      <c r="E57" s="1477">
        <f t="shared" si="39"/>
        <v>204.95180722891567</v>
      </c>
      <c r="F57" s="1477">
        <f t="shared" si="39"/>
        <v>125.95920303605313</v>
      </c>
      <c r="G57" s="3293">
        <v>2007</v>
      </c>
      <c r="H57" s="1464">
        <v>1</v>
      </c>
      <c r="I57" s="1464">
        <v>3.58</v>
      </c>
      <c r="J57" s="1464">
        <v>3.08</v>
      </c>
      <c r="K57" s="1464">
        <v>4.34</v>
      </c>
      <c r="L57" s="1478">
        <v>3.21</v>
      </c>
      <c r="N57" s="1527">
        <f t="shared" si="36"/>
        <v>3.0497710174814063E-2</v>
      </c>
      <c r="O57" s="1528">
        <f t="shared" si="36"/>
        <v>2.8569772160704998E-2</v>
      </c>
      <c r="P57" s="1528">
        <f t="shared" si="37"/>
        <v>5.1034908866234296E-2</v>
      </c>
      <c r="Q57" s="1528">
        <f t="shared" si="37"/>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8"/>
        <v>141</v>
      </c>
      <c r="E58" s="1490">
        <v>195</v>
      </c>
      <c r="F58" s="1491">
        <v>122</v>
      </c>
      <c r="G58" s="3291">
        <v>2006</v>
      </c>
      <c r="H58" s="1482">
        <v>4</v>
      </c>
      <c r="I58" s="1482">
        <v>3.79</v>
      </c>
      <c r="J58" s="1482">
        <v>2.21</v>
      </c>
      <c r="K58" s="1482">
        <v>5.65</v>
      </c>
      <c r="L58" s="1483">
        <v>5.41</v>
      </c>
      <c r="N58" s="1524">
        <f t="shared" ref="N58:O61" si="40">I58/SUM(I$58:I$61)*(B$58/B$62-1)</f>
        <v>7.245466462748526E-2</v>
      </c>
      <c r="O58" s="1525">
        <f t="shared" si="40"/>
        <v>2.3237230038062766E-2</v>
      </c>
      <c r="P58" s="1525">
        <f t="shared" ref="P58:Q61" si="41">K58/SUM(K$58:K$61)*(E$58/E$62-1)</f>
        <v>0.16146893866323722</v>
      </c>
      <c r="Q58" s="1525">
        <f t="shared" si="41"/>
        <v>5.0755230321793784E-2</v>
      </c>
      <c r="R58" s="1474"/>
      <c r="S58" s="1475"/>
      <c r="T58" s="1476"/>
      <c r="U58" s="1476"/>
      <c r="V58" s="1476"/>
      <c r="X58" s="1526"/>
      <c r="Y58" s="1526"/>
      <c r="Z58" s="1526"/>
    </row>
    <row r="59" spans="1:26">
      <c r="A59" s="1461" t="s">
        <v>1187</v>
      </c>
      <c r="B59" s="1477">
        <f t="shared" ref="B59:C61" si="42">B60+(B$58-B$62)*I59/SUM(I$58:I$61)</f>
        <v>149.00125628140702</v>
      </c>
      <c r="C59" s="1477">
        <f t="shared" si="42"/>
        <v>137.95592286501378</v>
      </c>
      <c r="D59" s="1477">
        <f t="shared" si="18"/>
        <v>137.95592286501378</v>
      </c>
      <c r="E59" s="1477">
        <f t="shared" ref="E59:F61" si="43">E60+(E$58-E$62)*K59/SUM(K$58:K$61)</f>
        <v>169.97231450719823</v>
      </c>
      <c r="F59" s="1477">
        <f t="shared" si="43"/>
        <v>116.21390374331551</v>
      </c>
      <c r="G59" s="3292">
        <v>2006</v>
      </c>
      <c r="H59" s="1487">
        <v>3</v>
      </c>
      <c r="I59" s="1487">
        <v>0.92</v>
      </c>
      <c r="J59" s="1487">
        <v>1.08</v>
      </c>
      <c r="K59" s="1487">
        <v>0.73</v>
      </c>
      <c r="L59" s="1488">
        <v>1.08</v>
      </c>
      <c r="N59" s="1524">
        <f t="shared" si="40"/>
        <v>1.7587939698492462E-2</v>
      </c>
      <c r="O59" s="1525">
        <f t="shared" si="40"/>
        <v>1.1355750425840628E-2</v>
      </c>
      <c r="P59" s="1525">
        <f t="shared" si="41"/>
        <v>2.0862358446754544E-2</v>
      </c>
      <c r="Q59" s="1525">
        <f t="shared" si="41"/>
        <v>1.0132282578103011E-2</v>
      </c>
      <c r="R59" s="1474"/>
      <c r="S59" s="1472"/>
      <c r="T59" s="1473"/>
      <c r="U59" s="1473"/>
      <c r="V59" s="1473"/>
      <c r="X59" s="1526"/>
      <c r="Y59" s="1526"/>
      <c r="Z59" s="1526"/>
    </row>
    <row r="60" spans="1:26">
      <c r="A60" s="1461" t="s">
        <v>1188</v>
      </c>
      <c r="B60" s="1477">
        <f t="shared" si="42"/>
        <v>146.57412060301507</v>
      </c>
      <c r="C60" s="1477">
        <f t="shared" si="42"/>
        <v>136.46831955922866</v>
      </c>
      <c r="D60" s="1477">
        <f t="shared" si="18"/>
        <v>136.46831955922866</v>
      </c>
      <c r="E60" s="1477">
        <f t="shared" si="43"/>
        <v>166.73864894795128</v>
      </c>
      <c r="F60" s="1477">
        <f t="shared" si="43"/>
        <v>115.05882352941177</v>
      </c>
      <c r="G60" s="3292">
        <v>2006</v>
      </c>
      <c r="H60" s="1465">
        <v>2</v>
      </c>
      <c r="I60" s="1465">
        <v>0.96</v>
      </c>
      <c r="J60" s="1465">
        <v>0.25</v>
      </c>
      <c r="K60" s="1465">
        <v>1.9</v>
      </c>
      <c r="L60" s="1479">
        <v>0.95</v>
      </c>
      <c r="N60" s="1524">
        <f t="shared" si="40"/>
        <v>1.8352632728861701E-2</v>
      </c>
      <c r="O60" s="1525">
        <f t="shared" si="40"/>
        <v>2.6286459319075526E-3</v>
      </c>
      <c r="P60" s="1525">
        <f t="shared" si="41"/>
        <v>5.4299289107991269E-2</v>
      </c>
      <c r="Q60" s="1525">
        <f t="shared" si="41"/>
        <v>8.9126559714794995E-3</v>
      </c>
      <c r="R60" s="1474"/>
      <c r="S60" s="1472"/>
      <c r="T60" s="1473"/>
      <c r="U60" s="1473"/>
      <c r="V60" s="1473"/>
      <c r="X60" s="1526"/>
      <c r="Y60" s="1526"/>
      <c r="Z60" s="1526"/>
    </row>
    <row r="61" spans="1:26">
      <c r="A61" s="1461" t="s">
        <v>1189</v>
      </c>
      <c r="B61" s="1477">
        <f t="shared" si="42"/>
        <v>144.04145728643215</v>
      </c>
      <c r="C61" s="1477">
        <f t="shared" si="42"/>
        <v>136.12396694214877</v>
      </c>
      <c r="D61" s="1477">
        <f t="shared" si="18"/>
        <v>136.12396694214877</v>
      </c>
      <c r="E61" s="1477">
        <f t="shared" si="43"/>
        <v>158.32225913621264</v>
      </c>
      <c r="F61" s="1477">
        <f t="shared" si="43"/>
        <v>114.04278074866311</v>
      </c>
      <c r="G61" s="3293">
        <v>2006</v>
      </c>
      <c r="H61" s="1464">
        <v>1</v>
      </c>
      <c r="I61" s="1464">
        <v>2.29</v>
      </c>
      <c r="J61" s="1464">
        <v>3.72</v>
      </c>
      <c r="K61" s="1464">
        <v>0.75</v>
      </c>
      <c r="L61" s="1478">
        <v>0.04</v>
      </c>
      <c r="N61" s="1527">
        <f t="shared" si="40"/>
        <v>4.3778675988638847E-2</v>
      </c>
      <c r="O61" s="1528">
        <f t="shared" si="40"/>
        <v>3.9114251466784385E-2</v>
      </c>
      <c r="P61" s="1528">
        <f t="shared" si="41"/>
        <v>2.1433929911049188E-2</v>
      </c>
      <c r="Q61" s="1528">
        <f t="shared" si="41"/>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8"/>
        <v>131</v>
      </c>
      <c r="E62" s="1490">
        <v>155</v>
      </c>
      <c r="F62" s="1491">
        <v>114</v>
      </c>
      <c r="G62" s="3291">
        <v>2005</v>
      </c>
      <c r="H62" s="1482">
        <v>4</v>
      </c>
      <c r="I62" s="1482">
        <v>3.29</v>
      </c>
      <c r="J62" s="1482">
        <v>1.44</v>
      </c>
      <c r="K62" s="1482">
        <v>0.66</v>
      </c>
      <c r="L62" s="1483">
        <v>7.78</v>
      </c>
      <c r="N62" s="1524">
        <f t="shared" ref="N62:O65" si="44">I62/SUM(I$62:I$65)*(B$62/B$66-1)</f>
        <v>9.9404603216919935E-2</v>
      </c>
      <c r="O62" s="1525">
        <f t="shared" si="44"/>
        <v>4.7636550760861554E-2</v>
      </c>
      <c r="P62" s="1525">
        <f t="shared" ref="P62:Q65" si="45">K62/SUM(K$62:K$65)*(E$62/E$66-1)</f>
        <v>8.3756345177664976E-2</v>
      </c>
      <c r="Q62" s="1525">
        <f t="shared" si="45"/>
        <v>5.2148766661559584E-2</v>
      </c>
      <c r="R62" s="1474"/>
      <c r="S62" s="1475"/>
      <c r="T62" s="1476"/>
      <c r="U62" s="1476"/>
      <c r="V62" s="1476"/>
      <c r="X62" s="1526"/>
      <c r="Y62" s="1526"/>
      <c r="Z62" s="1526"/>
    </row>
    <row r="63" spans="1:26">
      <c r="A63" s="1461" t="s">
        <v>1191</v>
      </c>
      <c r="B63" s="1477">
        <f t="shared" ref="B63:C65" si="46">B64+(B$62-B$66)*I63/SUM(I$62:I$65)</f>
        <v>125.9720430107527</v>
      </c>
      <c r="C63" s="1477">
        <f t="shared" si="46"/>
        <v>125.1883408071749</v>
      </c>
      <c r="D63" s="1477">
        <f t="shared" si="18"/>
        <v>125.1883408071749</v>
      </c>
      <c r="E63" s="1477">
        <f t="shared" ref="E63:F65" si="47">E64+(E$62-E$66)*K63/SUM(K$62:K$65)</f>
        <v>144.61421319796952</v>
      </c>
      <c r="F63" s="1477">
        <f t="shared" si="47"/>
        <v>108.42008196721311</v>
      </c>
      <c r="G63" s="3292">
        <v>2005</v>
      </c>
      <c r="H63" s="1487">
        <v>3</v>
      </c>
      <c r="I63" s="1487">
        <v>0.46</v>
      </c>
      <c r="J63" s="1487">
        <v>0.32</v>
      </c>
      <c r="K63" s="1487">
        <v>0.42</v>
      </c>
      <c r="L63" s="1488">
        <v>0.64</v>
      </c>
      <c r="N63" s="1524">
        <f t="shared" si="44"/>
        <v>1.3898515951301874E-2</v>
      </c>
      <c r="O63" s="1525">
        <f t="shared" si="44"/>
        <v>1.0585900169080346E-2</v>
      </c>
      <c r="P63" s="1525">
        <f t="shared" si="45"/>
        <v>5.3299492385786795E-2</v>
      </c>
      <c r="Q63" s="1525">
        <f t="shared" si="45"/>
        <v>4.2898728359123568E-3</v>
      </c>
      <c r="R63" s="1474"/>
      <c r="S63" s="1472"/>
      <c r="T63" s="1473"/>
      <c r="U63" s="1473"/>
      <c r="V63" s="1473"/>
      <c r="X63" s="1526"/>
      <c r="Y63" s="1526"/>
      <c r="Z63" s="1526"/>
    </row>
    <row r="64" spans="1:26">
      <c r="A64" s="1461" t="s">
        <v>1192</v>
      </c>
      <c r="B64" s="1477">
        <f t="shared" si="46"/>
        <v>124.29032258064517</v>
      </c>
      <c r="C64" s="1477">
        <f t="shared" si="46"/>
        <v>123.8968609865471</v>
      </c>
      <c r="D64" s="1477">
        <f t="shared" si="18"/>
        <v>123.8968609865471</v>
      </c>
      <c r="E64" s="1477">
        <f t="shared" si="47"/>
        <v>138.00507614213197</v>
      </c>
      <c r="F64" s="1477">
        <f t="shared" si="47"/>
        <v>107.96106557377048</v>
      </c>
      <c r="G64" s="3292">
        <v>2005</v>
      </c>
      <c r="H64" s="1465">
        <v>2</v>
      </c>
      <c r="I64" s="1465">
        <v>0.47</v>
      </c>
      <c r="J64" s="1465">
        <v>0.1</v>
      </c>
      <c r="K64" s="1465">
        <v>0.52</v>
      </c>
      <c r="L64" s="1479">
        <v>0.79</v>
      </c>
      <c r="N64" s="1524">
        <f t="shared" si="44"/>
        <v>1.420065760241713E-2</v>
      </c>
      <c r="O64" s="1525">
        <f t="shared" si="44"/>
        <v>3.3080938028376083E-3</v>
      </c>
      <c r="P64" s="1525">
        <f t="shared" si="45"/>
        <v>6.598984771573603E-2</v>
      </c>
      <c r="Q64" s="1525">
        <f t="shared" si="45"/>
        <v>5.2953117818293153E-3</v>
      </c>
      <c r="R64" s="1474"/>
      <c r="S64" s="1472"/>
      <c r="T64" s="1473"/>
      <c r="U64" s="1473"/>
      <c r="V64" s="1473"/>
      <c r="X64" s="1526"/>
      <c r="Y64" s="1526"/>
      <c r="Z64" s="1526"/>
    </row>
    <row r="65" spans="1:26">
      <c r="A65" s="1461" t="s">
        <v>1193</v>
      </c>
      <c r="B65" s="1477">
        <f t="shared" si="46"/>
        <v>122.57204301075269</v>
      </c>
      <c r="C65" s="1477">
        <f t="shared" si="46"/>
        <v>123.4932735426009</v>
      </c>
      <c r="D65" s="1477">
        <f t="shared" si="18"/>
        <v>123.4932735426009</v>
      </c>
      <c r="E65" s="1477">
        <f t="shared" si="47"/>
        <v>129.82233502538071</v>
      </c>
      <c r="F65" s="1477">
        <f t="shared" si="47"/>
        <v>107.39446721311475</v>
      </c>
      <c r="G65" s="3293">
        <v>2005</v>
      </c>
      <c r="H65" s="1464">
        <v>1</v>
      </c>
      <c r="I65" s="1464">
        <v>0.43</v>
      </c>
      <c r="J65" s="1464">
        <v>0.37</v>
      </c>
      <c r="K65" s="1464">
        <v>0.37</v>
      </c>
      <c r="L65" s="1478">
        <v>0.55000000000000004</v>
      </c>
      <c r="N65" s="1527">
        <f t="shared" si="44"/>
        <v>1.2992090997956099E-2</v>
      </c>
      <c r="O65" s="1528">
        <f t="shared" si="44"/>
        <v>1.2239947070499151E-2</v>
      </c>
      <c r="P65" s="1528">
        <f t="shared" si="45"/>
        <v>4.6954314720812178E-2</v>
      </c>
      <c r="Q65" s="1528">
        <f t="shared" si="45"/>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8"/>
        <v>122</v>
      </c>
      <c r="E66" s="1511">
        <v>124</v>
      </c>
      <c r="F66" s="1512">
        <v>107</v>
      </c>
      <c r="G66" s="3291">
        <v>2004</v>
      </c>
      <c r="H66" s="1482">
        <v>4</v>
      </c>
      <c r="I66" s="1482">
        <v>0.33</v>
      </c>
      <c r="J66" s="1482">
        <v>0.5</v>
      </c>
      <c r="K66" s="1482">
        <v>0.5</v>
      </c>
      <c r="L66" s="1483">
        <v>0</v>
      </c>
      <c r="N66" s="1524">
        <f t="shared" ref="N66:O69" si="48">I66/SUM(I$66:I$69)*(B$66/B$70-1)</f>
        <v>1.3391770148526898E-2</v>
      </c>
      <c r="O66" s="1525">
        <f t="shared" si="48"/>
        <v>1.063264221158958E-2</v>
      </c>
      <c r="P66" s="1525">
        <f t="shared" ref="P66:Q69" si="49">K66/SUM(K$66:K$69)*(E$66/E$70-1)</f>
        <v>2.2244466688911134E-2</v>
      </c>
      <c r="Q66" s="1525">
        <f t="shared" si="49"/>
        <v>0</v>
      </c>
      <c r="R66" s="1474"/>
      <c r="S66" s="1475"/>
      <c r="T66" s="1476"/>
      <c r="U66" s="1476"/>
      <c r="V66" s="1476"/>
      <c r="X66" s="1526"/>
      <c r="Y66" s="1526"/>
      <c r="Z66" s="1526"/>
    </row>
    <row r="67" spans="1:26">
      <c r="A67" s="1461" t="s">
        <v>1195</v>
      </c>
      <c r="B67" s="1477">
        <f t="shared" ref="B67:C69" si="50">B68+(B$66-B$70)*I67/SUM(I$66:I$69)</f>
        <v>119.51351351351352</v>
      </c>
      <c r="C67" s="1477">
        <f t="shared" si="50"/>
        <v>120.7878787878788</v>
      </c>
      <c r="D67" s="1477">
        <f t="shared" si="18"/>
        <v>120.7878787878788</v>
      </c>
      <c r="E67" s="1477">
        <f t="shared" ref="E67:F69" si="51">E68+(E$66-E$70)*K67/SUM(K$66:K$69)</f>
        <v>121.5975975975976</v>
      </c>
      <c r="F67" s="1477">
        <f t="shared" si="51"/>
        <v>107</v>
      </c>
      <c r="G67" s="3292">
        <v>2004</v>
      </c>
      <c r="H67" s="1487">
        <v>3</v>
      </c>
      <c r="I67" s="1487">
        <v>0.56000000000000005</v>
      </c>
      <c r="J67" s="1487">
        <v>0.8</v>
      </c>
      <c r="K67" s="1487">
        <v>0.83</v>
      </c>
      <c r="L67" s="1488">
        <v>0.06</v>
      </c>
      <c r="N67" s="1524">
        <f t="shared" si="48"/>
        <v>2.2725428130833527E-2</v>
      </c>
      <c r="O67" s="1525">
        <f t="shared" si="48"/>
        <v>1.7012227538543329E-2</v>
      </c>
      <c r="P67" s="1525">
        <f t="shared" si="49"/>
        <v>3.6925814703592477E-2</v>
      </c>
      <c r="Q67" s="1525">
        <f t="shared" si="49"/>
        <v>2.8846153846153744E-2</v>
      </c>
      <c r="R67" s="1474"/>
      <c r="S67" s="1472"/>
      <c r="T67" s="1473"/>
      <c r="U67" s="1473"/>
      <c r="V67" s="1473"/>
      <c r="X67" s="1526"/>
      <c r="Y67" s="1526"/>
      <c r="Z67" s="1526"/>
    </row>
    <row r="68" spans="1:26">
      <c r="A68" s="1461" t="s">
        <v>1196</v>
      </c>
      <c r="B68" s="1477">
        <f t="shared" si="50"/>
        <v>116.99099099099099</v>
      </c>
      <c r="C68" s="1477">
        <f t="shared" si="50"/>
        <v>118.84848484848486</v>
      </c>
      <c r="D68" s="1477">
        <f t="shared" si="18"/>
        <v>118.84848484848486</v>
      </c>
      <c r="E68" s="1477">
        <f t="shared" si="51"/>
        <v>117.60960960960961</v>
      </c>
      <c r="F68" s="1477">
        <f t="shared" si="51"/>
        <v>104</v>
      </c>
      <c r="G68" s="3292">
        <v>2004</v>
      </c>
      <c r="H68" s="1465">
        <v>2</v>
      </c>
      <c r="I68" s="1465">
        <v>1</v>
      </c>
      <c r="J68" s="1465">
        <v>1.5</v>
      </c>
      <c r="K68" s="1465">
        <v>1.5</v>
      </c>
      <c r="L68" s="1479">
        <v>0</v>
      </c>
      <c r="N68" s="1524">
        <f t="shared" si="48"/>
        <v>4.0581121662202721E-2</v>
      </c>
      <c r="O68" s="1525">
        <f t="shared" si="48"/>
        <v>3.1897926634768738E-2</v>
      </c>
      <c r="P68" s="1525">
        <f t="shared" si="49"/>
        <v>6.6733400066733395E-2</v>
      </c>
      <c r="Q68" s="1525">
        <f t="shared" si="49"/>
        <v>0</v>
      </c>
      <c r="R68" s="1474"/>
      <c r="S68" s="1472"/>
      <c r="T68" s="1473"/>
      <c r="U68" s="1473"/>
      <c r="V68" s="1473"/>
      <c r="X68" s="1526"/>
      <c r="Y68" s="1526"/>
      <c r="Z68" s="1526"/>
    </row>
    <row r="69" spans="1:26" s="1517" customFormat="1" ht="13" thickBot="1">
      <c r="A69" s="1461" t="s">
        <v>1197</v>
      </c>
      <c r="B69" s="1514">
        <f t="shared" si="50"/>
        <v>112.48648648648648</v>
      </c>
      <c r="C69" s="1514">
        <f t="shared" si="50"/>
        <v>115.21212121212122</v>
      </c>
      <c r="D69" s="1514">
        <f t="shared" si="18"/>
        <v>115.21212121212122</v>
      </c>
      <c r="E69" s="1514">
        <f t="shared" si="51"/>
        <v>110.4024024024024</v>
      </c>
      <c r="F69" s="1514">
        <f t="shared" si="51"/>
        <v>104</v>
      </c>
      <c r="G69" s="3293">
        <v>2004</v>
      </c>
      <c r="H69" s="1515">
        <v>1</v>
      </c>
      <c r="I69" s="1515">
        <v>0.33</v>
      </c>
      <c r="J69" s="1515">
        <v>0.5</v>
      </c>
      <c r="K69" s="1515">
        <v>0.5</v>
      </c>
      <c r="L69" s="1516">
        <v>0</v>
      </c>
      <c r="N69" s="1529">
        <f t="shared" si="48"/>
        <v>1.3391770148526898E-2</v>
      </c>
      <c r="O69" s="1530">
        <f t="shared" si="48"/>
        <v>1.063264221158958E-2</v>
      </c>
      <c r="P69" s="1530">
        <f t="shared" si="49"/>
        <v>2.2244466688911134E-2</v>
      </c>
      <c r="Q69" s="1530">
        <f t="shared" si="49"/>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8"/>
        <v>114</v>
      </c>
      <c r="E70" s="1532">
        <v>108</v>
      </c>
      <c r="F70" s="1533">
        <v>104</v>
      </c>
      <c r="G70" s="3291">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52">B72+(B$70-B$74)/4</f>
        <v>109.75</v>
      </c>
      <c r="C71" s="1536">
        <f t="shared" si="52"/>
        <v>112.25</v>
      </c>
      <c r="D71" s="1536">
        <f t="shared" si="18"/>
        <v>112.25</v>
      </c>
      <c r="E71" s="1536">
        <f t="shared" ref="E71:F73" si="53">E72+(E$70-E$74)/4</f>
        <v>107.25</v>
      </c>
      <c r="F71" s="1536">
        <f t="shared" si="53"/>
        <v>103.5</v>
      </c>
      <c r="G71" s="3292">
        <v>2003</v>
      </c>
      <c r="H71" s="1487">
        <v>3</v>
      </c>
      <c r="I71" s="1534"/>
      <c r="J71" s="1534"/>
      <c r="K71" s="1534"/>
      <c r="L71" s="1534"/>
      <c r="X71" s="1526"/>
      <c r="Y71" s="1526"/>
      <c r="Z71" s="1526"/>
    </row>
    <row r="72" spans="1:26">
      <c r="A72" s="1461" t="s">
        <v>1200</v>
      </c>
      <c r="B72" s="1536">
        <f t="shared" si="52"/>
        <v>108.5</v>
      </c>
      <c r="C72" s="1536">
        <f t="shared" si="52"/>
        <v>110.5</v>
      </c>
      <c r="D72" s="1536">
        <f t="shared" si="18"/>
        <v>110.5</v>
      </c>
      <c r="E72" s="1536">
        <f t="shared" si="53"/>
        <v>106.5</v>
      </c>
      <c r="F72" s="1536">
        <f t="shared" si="53"/>
        <v>103</v>
      </c>
      <c r="G72" s="3292">
        <v>2003</v>
      </c>
      <c r="H72" s="1465">
        <v>2</v>
      </c>
      <c r="I72" s="1534"/>
      <c r="J72" s="1534"/>
      <c r="K72" s="1534"/>
      <c r="L72" s="1534"/>
      <c r="X72" s="1526"/>
      <c r="Y72" s="1526"/>
      <c r="Z72" s="1526"/>
    </row>
    <row r="73" spans="1:26" ht="13" thickBot="1">
      <c r="A73" s="1461" t="s">
        <v>1201</v>
      </c>
      <c r="B73" s="1536">
        <f t="shared" si="52"/>
        <v>107.25</v>
      </c>
      <c r="C73" s="1536">
        <f t="shared" si="52"/>
        <v>108.75</v>
      </c>
      <c r="D73" s="1536">
        <f t="shared" si="18"/>
        <v>108.75</v>
      </c>
      <c r="E73" s="1536">
        <f t="shared" si="53"/>
        <v>105.75</v>
      </c>
      <c r="F73" s="1536">
        <f t="shared" si="53"/>
        <v>102.5</v>
      </c>
      <c r="G73" s="3293">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8"/>
        <v>107</v>
      </c>
      <c r="E74" s="1538">
        <v>105</v>
      </c>
      <c r="F74" s="1539">
        <v>102</v>
      </c>
      <c r="G74" s="3291">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54">B76+(B$74-B$78)/4</f>
        <v>105</v>
      </c>
      <c r="C75" s="1536">
        <f t="shared" si="54"/>
        <v>106</v>
      </c>
      <c r="D75" s="1536">
        <f t="shared" si="18"/>
        <v>106</v>
      </c>
      <c r="E75" s="1536">
        <f t="shared" ref="E75:F77" si="55">E76+(E$74-E$78)/4</f>
        <v>104.5</v>
      </c>
      <c r="F75" s="1536">
        <f t="shared" si="55"/>
        <v>101.5</v>
      </c>
      <c r="G75" s="3292">
        <v>2002</v>
      </c>
      <c r="H75" s="1487">
        <v>3</v>
      </c>
      <c r="I75" s="1534"/>
      <c r="J75" s="1534"/>
      <c r="K75" s="1534"/>
      <c r="L75" s="1534"/>
      <c r="X75" s="1526"/>
      <c r="Y75" s="1526"/>
      <c r="Z75" s="1526"/>
    </row>
    <row r="76" spans="1:26">
      <c r="A76" s="1461" t="s">
        <v>1204</v>
      </c>
      <c r="B76" s="1536">
        <f t="shared" si="54"/>
        <v>104</v>
      </c>
      <c r="C76" s="1536">
        <f t="shared" si="54"/>
        <v>105</v>
      </c>
      <c r="D76" s="1536">
        <f t="shared" si="18"/>
        <v>105</v>
      </c>
      <c r="E76" s="1536">
        <f t="shared" si="55"/>
        <v>104</v>
      </c>
      <c r="F76" s="1536">
        <f t="shared" si="55"/>
        <v>101</v>
      </c>
      <c r="G76" s="3292">
        <v>2002</v>
      </c>
      <c r="H76" s="1465">
        <v>2</v>
      </c>
      <c r="I76" s="1534"/>
      <c r="J76" s="1534"/>
      <c r="K76" s="1534"/>
      <c r="L76" s="1534"/>
      <c r="X76" s="1526"/>
      <c r="Y76" s="1526"/>
      <c r="Z76" s="1526"/>
    </row>
    <row r="77" spans="1:26" s="1498" customFormat="1" ht="13" thickBot="1">
      <c r="A77" s="1494" t="s">
        <v>1205</v>
      </c>
      <c r="B77" s="1540">
        <f t="shared" si="54"/>
        <v>103</v>
      </c>
      <c r="C77" s="1540">
        <f t="shared" si="54"/>
        <v>104</v>
      </c>
      <c r="D77" s="1540">
        <f t="shared" si="18"/>
        <v>104</v>
      </c>
      <c r="E77" s="1540">
        <f t="shared" si="55"/>
        <v>103.5</v>
      </c>
      <c r="F77" s="1540">
        <f t="shared" si="55"/>
        <v>100.5</v>
      </c>
      <c r="G77" s="3293">
        <v>2002</v>
      </c>
      <c r="H77" s="1541">
        <v>1</v>
      </c>
      <c r="I77" s="1542"/>
      <c r="J77" s="1542"/>
      <c r="K77" s="1542"/>
      <c r="L77" s="1542"/>
      <c r="N77" s="1543"/>
      <c r="S77" s="1543"/>
      <c r="X77" s="1544"/>
      <c r="Y77" s="1544"/>
      <c r="Z77" s="1544"/>
    </row>
    <row r="78" spans="1:26" ht="13.5" thickBot="1">
      <c r="B78" s="1545">
        <v>102</v>
      </c>
      <c r="C78" s="1546">
        <v>103</v>
      </c>
      <c r="D78" s="1546">
        <f t="shared" si="18"/>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ht="13">
      <c r="A80" s="1548" t="s">
        <v>1206</v>
      </c>
      <c r="G80" s="1550"/>
      <c r="N80" s="1550"/>
      <c r="S80" s="1550"/>
    </row>
    <row r="81" spans="1:22" s="1549" customFormat="1" ht="13">
      <c r="A81" s="1549" t="s">
        <v>1207</v>
      </c>
      <c r="G81" s="1550"/>
      <c r="N81" s="1550"/>
      <c r="S81" s="1550"/>
    </row>
    <row r="82" spans="1:22" s="1549" customFormat="1" ht="13">
      <c r="A82" s="1549" t="s">
        <v>1208</v>
      </c>
      <c r="G82" s="1550"/>
      <c r="I82" s="1551"/>
      <c r="J82" s="1551"/>
      <c r="K82" s="1551"/>
      <c r="L82" s="1551"/>
      <c r="N82" s="1552"/>
      <c r="O82" s="1551"/>
      <c r="P82" s="1551"/>
      <c r="Q82" s="1551"/>
      <c r="S82" s="1552"/>
      <c r="T82" s="1551"/>
      <c r="U82" s="1551"/>
      <c r="V82" s="1551"/>
    </row>
    <row r="83" spans="1:22" s="1549" customFormat="1" ht="13">
      <c r="A83" s="1549" t="s">
        <v>1209</v>
      </c>
      <c r="G83" s="1550"/>
      <c r="N83" s="1550"/>
      <c r="S83" s="1550"/>
    </row>
    <row r="90" spans="1:22" ht="13" thickBot="1"/>
    <row r="91" spans="1:22" ht="13">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F8180-4568-4628-8FD0-F97D69549527}">
  <sheetPr>
    <tabColor rgb="FFFFFF00"/>
  </sheetPr>
  <dimension ref="A1"/>
  <sheetViews>
    <sheetView workbookViewId="0">
      <selection activeCell="Q14" sqref="Q14"/>
    </sheetView>
  </sheetViews>
  <sheetFormatPr defaultRowHeight="14"/>
  <sheetData/>
  <phoneticPr fontId="14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5"/>
  <cols>
    <col min="1" max="1" width="11.453125" style="139" customWidth="1"/>
    <col min="2" max="2" width="9.1796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303" t="s">
        <v>3000</v>
      </c>
      <c r="D1" s="3304"/>
      <c r="E1" s="3304"/>
      <c r="F1" s="3304"/>
      <c r="G1" s="3304"/>
      <c r="H1" s="3304"/>
      <c r="I1" s="3304"/>
      <c r="J1" s="3304"/>
      <c r="K1" s="3304"/>
      <c r="L1" s="3304"/>
      <c r="M1" s="3304"/>
      <c r="N1" s="3304"/>
      <c r="O1" s="3304"/>
      <c r="P1" s="3304"/>
      <c r="Q1" s="3304"/>
      <c r="R1" s="3304"/>
      <c r="S1" s="3305"/>
      <c r="T1" s="1204" t="s">
        <v>3001</v>
      </c>
    </row>
    <row r="2" spans="1:45" s="707" customFormat="1" ht="13">
      <c r="A2" s="1205"/>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13">
      <c r="A5" s="1215"/>
      <c r="B5" s="1768" t="s">
        <v>3003</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2">D6-$T5</f>
        <v>100</v>
      </c>
      <c r="F6" s="1714">
        <f t="shared" si="2"/>
        <v>100</v>
      </c>
      <c r="G6" s="1714">
        <f t="shared" si="2"/>
        <v>100</v>
      </c>
      <c r="H6" s="1714">
        <f t="shared" si="2"/>
        <v>100</v>
      </c>
      <c r="I6" s="1714">
        <f t="shared" si="2"/>
        <v>100</v>
      </c>
      <c r="J6" s="1714">
        <f t="shared" si="2"/>
        <v>100</v>
      </c>
      <c r="K6" s="1714">
        <f t="shared" si="2"/>
        <v>100</v>
      </c>
      <c r="L6" s="1714">
        <f t="shared" si="2"/>
        <v>100</v>
      </c>
      <c r="M6" s="1714">
        <f t="shared" si="2"/>
        <v>100</v>
      </c>
      <c r="N6" s="1714">
        <f t="shared" si="2"/>
        <v>100</v>
      </c>
      <c r="O6" s="1714">
        <f t="shared" si="2"/>
        <v>100</v>
      </c>
      <c r="P6" s="1714">
        <f t="shared" si="2"/>
        <v>100</v>
      </c>
      <c r="Q6" s="1714">
        <f t="shared" si="2"/>
        <v>100</v>
      </c>
      <c r="R6" s="1714">
        <f t="shared" si="2"/>
        <v>100</v>
      </c>
      <c r="S6" s="1714">
        <f t="shared" si="2"/>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13">
      <c r="A7" s="1215"/>
      <c r="B7" s="1769" t="s">
        <v>3004</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3">D8-$T7</f>
        <v>100</v>
      </c>
      <c r="F8" s="1714">
        <f t="shared" si="3"/>
        <v>100</v>
      </c>
      <c r="G8" s="1714">
        <f t="shared" si="3"/>
        <v>100</v>
      </c>
      <c r="H8" s="1714">
        <f t="shared" si="3"/>
        <v>100</v>
      </c>
      <c r="I8" s="1714">
        <f t="shared" si="3"/>
        <v>100</v>
      </c>
      <c r="J8" s="1714">
        <f t="shared" si="3"/>
        <v>100</v>
      </c>
      <c r="K8" s="1714">
        <f t="shared" si="3"/>
        <v>100</v>
      </c>
      <c r="L8" s="1714">
        <f t="shared" si="3"/>
        <v>100</v>
      </c>
      <c r="M8" s="1714">
        <f t="shared" si="3"/>
        <v>100</v>
      </c>
      <c r="N8" s="1714">
        <f t="shared" si="3"/>
        <v>100</v>
      </c>
      <c r="O8" s="1714">
        <f t="shared" si="3"/>
        <v>100</v>
      </c>
      <c r="P8" s="1714">
        <f t="shared" si="3"/>
        <v>100</v>
      </c>
      <c r="Q8" s="1714">
        <f t="shared" si="3"/>
        <v>100</v>
      </c>
      <c r="R8" s="1714">
        <f t="shared" si="3"/>
        <v>100</v>
      </c>
      <c r="S8" s="1714">
        <f t="shared" si="3"/>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13">
      <c r="A9" s="1215"/>
      <c r="B9" s="1769" t="s">
        <v>3005</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4">D10-$T9</f>
        <v>100</v>
      </c>
      <c r="F10" s="1724">
        <f t="shared" si="4"/>
        <v>100</v>
      </c>
      <c r="G10" s="1724">
        <f t="shared" si="4"/>
        <v>100</v>
      </c>
      <c r="H10" s="1724">
        <f t="shared" si="4"/>
        <v>100</v>
      </c>
      <c r="I10" s="1724">
        <f t="shared" si="4"/>
        <v>100</v>
      </c>
      <c r="J10" s="1724">
        <f t="shared" si="4"/>
        <v>100</v>
      </c>
      <c r="K10" s="1724">
        <f t="shared" si="4"/>
        <v>100</v>
      </c>
      <c r="L10" s="1724">
        <f t="shared" si="4"/>
        <v>100</v>
      </c>
      <c r="M10" s="1724">
        <f t="shared" si="4"/>
        <v>100</v>
      </c>
      <c r="N10" s="1724">
        <f t="shared" si="4"/>
        <v>100</v>
      </c>
      <c r="O10" s="1724">
        <f t="shared" si="4"/>
        <v>100</v>
      </c>
      <c r="P10" s="1724">
        <f t="shared" si="4"/>
        <v>100</v>
      </c>
      <c r="Q10" s="1724">
        <f t="shared" si="4"/>
        <v>100</v>
      </c>
      <c r="R10" s="1724">
        <f t="shared" si="4"/>
        <v>100</v>
      </c>
      <c r="S10" s="1724">
        <f t="shared" si="4"/>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13">
      <c r="A11" s="1215"/>
      <c r="B11" s="1768"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5">D12-$T11</f>
        <v>100</v>
      </c>
      <c r="F12" s="1119">
        <f t="shared" si="5"/>
        <v>100</v>
      </c>
      <c r="G12" s="1119">
        <f t="shared" si="5"/>
        <v>100</v>
      </c>
      <c r="H12" s="1119">
        <f t="shared" si="5"/>
        <v>100</v>
      </c>
      <c r="I12" s="1119">
        <f t="shared" si="5"/>
        <v>100</v>
      </c>
      <c r="J12" s="1119">
        <f t="shared" si="5"/>
        <v>100</v>
      </c>
      <c r="K12" s="1119">
        <f t="shared" si="5"/>
        <v>100</v>
      </c>
      <c r="L12" s="1119">
        <f t="shared" si="5"/>
        <v>100</v>
      </c>
      <c r="M12" s="1119">
        <f t="shared" si="5"/>
        <v>100</v>
      </c>
      <c r="N12" s="1119">
        <f t="shared" si="5"/>
        <v>100</v>
      </c>
      <c r="O12" s="1119">
        <f t="shared" si="5"/>
        <v>100</v>
      </c>
      <c r="P12" s="1119">
        <f t="shared" si="5"/>
        <v>100</v>
      </c>
      <c r="Q12" s="1119">
        <f t="shared" si="5"/>
        <v>100</v>
      </c>
      <c r="R12" s="1119">
        <f>Q12-$T11</f>
        <v>100</v>
      </c>
      <c r="S12" s="1119">
        <f t="shared" si="5"/>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13">
      <c r="A13" s="1215"/>
      <c r="B13" s="1768"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13">
      <c r="A15" s="1215"/>
      <c r="B15" s="1768"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13">
      <c r="A17" s="2908" t="s">
        <v>3009</v>
      </c>
      <c r="B17" s="2909" t="s">
        <v>3010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ht="13">
      <c r="A19" s="138"/>
      <c r="B19" s="168"/>
      <c r="C19" s="168"/>
      <c r="D19" s="2910" t="s">
        <v>3011</v>
      </c>
      <c r="E19" s="1791"/>
      <c r="F19" s="1791"/>
      <c r="G19" s="1791"/>
      <c r="H19" s="1280"/>
      <c r="I19" s="168"/>
      <c r="J19" s="168"/>
      <c r="K19" s="168"/>
      <c r="L19" s="168"/>
      <c r="M19" s="168"/>
      <c r="N19" s="168"/>
      <c r="O19" s="168"/>
      <c r="P19" s="168"/>
      <c r="Q19" s="168"/>
      <c r="R19" s="788"/>
      <c r="S19" s="138"/>
    </row>
    <row r="20" spans="1:45" ht="16" thickBot="1">
      <c r="A20" s="715" t="s">
        <v>3012</v>
      </c>
      <c r="B20" s="338" t="e">
        <f ca="1">IF(D20="——",S22,S22-F20)</f>
        <v>#REF!</v>
      </c>
      <c r="C20" s="168"/>
      <c r="D20" s="2911" t="s">
        <v>3013</v>
      </c>
      <c r="E20" s="1792"/>
      <c r="F20" s="1204" t="e">
        <f ca="1">SUMIF(INDIRECT("'"&amp;H20&amp;"'"&amp;"!A:A"),"承租人权益价值",INDIRECT("'"&amp;H20&amp;"'"&amp;"!c:c"))</f>
        <v>#REF!</v>
      </c>
      <c r="G20" s="1204" t="s">
        <v>3014</v>
      </c>
      <c r="H20" s="2912"/>
      <c r="I20" s="168"/>
      <c r="J20" s="168"/>
      <c r="K20" s="168"/>
      <c r="L20" s="168"/>
      <c r="M20" s="168"/>
      <c r="N20" s="168"/>
      <c r="O20" s="168"/>
      <c r="P20" s="168"/>
      <c r="Q20" s="168"/>
      <c r="R20" s="788"/>
      <c r="S20" s="138"/>
    </row>
    <row r="21" spans="1:45" ht="15.5">
      <c r="A21" s="715" t="s">
        <v>3015</v>
      </c>
      <c r="B21" s="338">
        <f>R22</f>
        <v>10000</v>
      </c>
      <c r="C21" s="168"/>
      <c r="D21" s="168"/>
      <c r="E21" s="168"/>
      <c r="F21" s="168"/>
      <c r="G21" s="168"/>
      <c r="H21" s="168"/>
      <c r="I21" s="168"/>
      <c r="J21" s="168"/>
      <c r="K21" s="168"/>
      <c r="L21" s="168"/>
      <c r="M21" s="168"/>
      <c r="N21" s="168"/>
      <c r="O21" s="168"/>
      <c r="P21" s="168"/>
      <c r="Q21" s="168"/>
      <c r="R21" s="788"/>
      <c r="S21" s="138"/>
    </row>
    <row r="22" spans="1:45" ht="13">
      <c r="A22" s="361" t="s">
        <v>3016</v>
      </c>
      <c r="B22" s="24">
        <f>SUM(B24:B10000)</f>
        <v>100</v>
      </c>
      <c r="C22" s="3162" t="s">
        <v>33</v>
      </c>
      <c r="D22" s="3163"/>
      <c r="E22" s="3163"/>
      <c r="F22" s="3163"/>
      <c r="G22" s="3163"/>
      <c r="H22" s="3163"/>
      <c r="I22" s="3163"/>
      <c r="J22" s="3163"/>
      <c r="K22" s="3163"/>
      <c r="L22" s="3163"/>
      <c r="M22" s="3163"/>
      <c r="N22" s="3163"/>
      <c r="O22" s="3163"/>
      <c r="P22" s="3163"/>
      <c r="Q22" s="3302"/>
      <c r="R22" s="716">
        <f>ROUND(S22*10000/B22,0)</f>
        <v>10000</v>
      </c>
      <c r="S22" s="24">
        <f>SUM(S24:S10000)</f>
        <v>100</v>
      </c>
    </row>
    <row r="23" spans="1:45" s="12" customFormat="1" ht="26">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3">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13">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ht="13">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ht="13">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ht="13">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ht="13">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ht="13">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ht="13">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ht="13">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ht="13">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ht="13">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ht="13">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ht="13">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ht="13">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ht="13">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ht="13">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ht="13">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ht="13">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ht="13">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ht="13">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ht="13">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ht="13">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ht="13">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ht="13">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ht="13">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ht="13">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ht="13">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ht="13">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ht="13">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ht="13">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ht="13">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ht="13">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ht="13">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ht="13">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ht="13">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ht="13">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ht="13">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ht="13">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ht="13">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ht="13">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ht="13">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ht="13">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ht="13">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ht="13">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ht="13">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ht="13">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ht="13">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ht="13">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ht="13">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ht="13">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ht="13">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ht="13">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ht="13">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ht="13">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ht="13">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ht="13">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ht="13">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ht="13">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ht="13">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ht="13">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ht="13">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ht="13">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ht="13">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ht="13">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ht="13">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ht="13">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ht="13">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ht="13">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ht="13">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ht="13">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ht="13">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ht="13">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ht="13">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ht="13">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ht="13">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ht="13">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ht="13">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ht="13">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ht="13">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ht="13">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ht="13">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ht="13">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ht="13">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ht="13">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ht="13">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ht="13">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ht="13">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ht="13">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ht="13">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ht="13">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ht="13">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ht="13">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ht="13">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ht="13">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ht="13">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ht="13">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ht="13">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ht="13">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ht="13">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ht="13">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ht="13">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ht="13">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ht="13">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ht="13">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ht="13">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ht="13">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ht="13">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ht="13">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ht="13">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ht="13">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ht="13">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ht="13">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ht="13">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ht="13">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ht="13">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ht="13">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ht="13">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ht="13">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ht="13">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ht="13">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ht="13">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ht="13">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ht="13">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ht="13">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ht="13">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ht="13">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ht="13">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ht="13">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ht="13">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ht="13">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ht="13">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ht="13">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ht="13">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ht="13">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ht="13">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ht="13">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ht="13">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ht="13">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ht="13">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ht="13">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ht="13">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ht="13">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ht="13">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ht="13">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ht="13">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ht="13">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ht="13">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ht="13">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ht="13">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ht="13">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ht="13">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ht="13">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ht="13">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ht="13">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ht="13">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ht="13">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ht="13">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ht="13">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ht="13">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ht="13">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ht="13">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ht="13">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ht="13">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ht="13">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ht="13">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ht="13">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ht="13">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ht="13">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ht="13">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ht="13">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ht="13">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ht="13">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ht="13">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ht="13">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ht="13">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ht="13">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ht="13">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ht="13">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ht="13">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ht="13">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ht="13">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ht="13">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ht="13">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ht="13">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ht="13">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ht="13">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ht="13">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ht="13">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ht="13">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ht="13">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ht="13">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ht="13">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ht="13">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ht="13">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ht="13">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ht="13">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ht="13">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ht="13">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ht="13">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ht="13">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ht="13">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ht="13">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ht="13">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ht="13">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ht="13">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ht="13">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ht="13">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ht="13">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ht="13">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ht="13">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ht="13">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ht="13">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ht="13">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ht="13">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ht="13">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ht="13">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ht="13">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ht="13">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ht="13">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ht="13">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ht="13">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ht="13">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ht="13">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ht="13">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ht="13">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ht="13">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ht="13">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ht="13">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ht="13">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ht="13">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ht="13">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ht="13">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ht="13">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ht="13">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ht="13">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ht="13">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ht="13">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ht="13">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ht="13">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ht="13">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ht="13">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ht="13">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ht="13">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ht="13">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ht="13">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ht="13">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ht="13">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ht="13">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ht="13">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ht="13">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ht="13">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ht="13">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ht="13">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ht="13">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ht="13">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ht="13">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ht="13">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ht="13">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ht="13">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ht="13">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ht="13">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ht="13">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ht="13">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ht="13">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ht="13">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ht="13">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ht="13">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ht="13">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ht="13">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ht="13">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ht="13">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ht="13">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ht="13">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ht="13">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ht="13">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ht="13">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ht="13">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ht="13">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ht="13">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ht="13">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ht="13">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ht="13">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ht="13">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ht="13">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ht="13">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ht="13">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ht="13">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ht="13">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ht="13">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ht="13">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ht="13">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ht="13">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ht="13">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ht="13">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ht="13">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ht="13">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ht="13">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ht="13">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ht="13">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ht="13">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ht="13">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ht="13">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ht="13">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ht="13">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ht="13">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ht="13">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ht="13">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ht="13">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ht="13">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ht="13">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ht="13">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ht="13">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ht="13">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ht="13">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ht="13">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ht="13">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ht="13">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ht="13">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ht="13">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ht="13">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ht="13">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ht="13">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ht="13">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ht="13">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ht="13">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ht="13">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ht="13">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ht="13">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ht="13">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ht="13">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ht="13">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ht="13">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ht="13">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ht="13">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ht="13">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ht="13">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ht="13">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ht="13">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ht="13">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ht="13">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ht="13">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ht="13">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ht="13">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ht="13">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ht="13">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ht="13">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ht="13">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ht="13">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ht="13">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ht="13">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ht="13">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ht="13">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ht="13">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ht="13">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ht="13">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ht="13">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ht="13">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ht="13">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ht="13">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ht="13">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ht="13">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ht="13">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ht="13">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ht="13">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ht="13">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ht="13">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ht="13">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ht="13">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ht="13">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ht="13">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ht="13">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ht="13">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ht="13">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ht="13">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ht="13">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ht="13">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ht="13">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ht="13">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ht="13">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ht="13">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ht="13">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ht="13">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ht="13">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ht="13">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ht="13">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ht="13">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ht="13">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ht="13">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ht="13">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ht="13">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ht="13">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ht="13">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ht="13">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ht="13">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ht="13">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ht="13">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ht="13">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ht="13">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ht="13">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ht="13">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ht="13">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ht="13">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ht="13">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ht="13">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ht="13">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ht="13">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ht="13">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ht="13">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ht="13">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ht="13">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ht="13">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ht="13">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ht="13">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ht="13">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ht="13">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ht="13">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ht="13">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ht="13">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ht="13">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ht="13">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ht="13">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ht="13">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ht="13">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ht="13">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ht="13">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ht="13">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ht="13">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ht="13">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ht="13">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ht="13">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ht="13">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ht="13">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ht="13">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ht="13">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ht="13">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ht="13">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ht="13">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ht="13">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ht="13">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ht="13">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ht="13">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ht="13">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ht="13">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ht="13">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ht="13">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ht="13">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ht="13">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ht="13">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ht="13">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ht="13">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ht="13">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ht="13">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ht="13">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ht="13">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ht="13">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ht="13">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ht="13">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ht="13">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ht="13">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ht="13">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ht="13">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ht="13">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ht="13">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ht="13">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ht="13">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ht="13">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ht="13">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ht="13">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ht="13">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ht="13">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ht="13">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ht="13">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ht="13">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ht="13">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ht="13">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ht="13">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ht="13">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ht="13">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ht="13">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ht="13">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ht="13">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ht="13">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ht="13">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ht="13">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ht="13">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ht="13">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ht="13">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ht="13">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ht="13">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ht="13">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ht="13">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ht="13">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ht="13">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ht="13">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ht="13">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ht="13">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ht="13">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ht="13">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ht="13">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ht="13">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ht="13">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13" customWidth="1"/>
    <col min="2" max="2" width="29.1796875" style="295" customWidth="1"/>
    <col min="3" max="3" width="12.08984375" style="295" customWidth="1"/>
    <col min="4" max="5" width="11.1796875" style="316" customWidth="1"/>
    <col min="6" max="6" width="9.453125" style="295" customWidth="1"/>
    <col min="7" max="7" width="31.90625" style="295" customWidth="1"/>
    <col min="8" max="254" width="9" style="295" customWidth="1"/>
    <col min="255" max="16384" width="8.36328125" style="295"/>
  </cols>
  <sheetData>
    <row r="1" spans="1:7" s="244" customFormat="1" ht="21">
      <c r="A1" s="240" t="s">
        <v>83</v>
      </c>
      <c r="B1" s="241"/>
      <c r="C1" s="242"/>
      <c r="D1" s="242"/>
      <c r="E1" s="242"/>
      <c r="F1" s="242"/>
      <c r="G1" s="243"/>
    </row>
    <row r="2" spans="1:7" s="244" customFormat="1" ht="18" customHeight="1">
      <c r="A2" s="245" t="s">
        <v>84</v>
      </c>
      <c r="B2" s="246">
        <f ca="1">C52</f>
        <v>79755</v>
      </c>
      <c r="C2" s="2" t="s">
        <v>133</v>
      </c>
      <c r="D2" s="243"/>
      <c r="E2" s="243"/>
      <c r="F2" s="243"/>
      <c r="G2" s="243"/>
    </row>
    <row r="3" spans="1:7" s="244" customFormat="1" ht="18" customHeight="1" thickBot="1">
      <c r="A3" s="247" t="s">
        <v>85</v>
      </c>
      <c r="B3" s="248">
        <f ca="1">ROUND(B2*10000/'数据-汇总表'!E3,0)</f>
        <v>6258</v>
      </c>
      <c r="C3" s="2" t="s">
        <v>134</v>
      </c>
      <c r="D3" s="243"/>
      <c r="E3" s="243"/>
      <c r="F3" s="243"/>
      <c r="G3" s="243"/>
    </row>
    <row r="4" spans="1:7" s="252" customFormat="1" ht="16">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ht="13">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1627</v>
      </c>
      <c r="D9" s="1032">
        <f>'数据-汇总表'!E5</f>
        <v>73964.140000000043</v>
      </c>
      <c r="E9" s="269">
        <f>'数据-取费表'!B27</f>
        <v>220</v>
      </c>
      <c r="F9" s="265"/>
      <c r="G9" s="270"/>
    </row>
    <row r="10" spans="1:7" s="258" customFormat="1" ht="13.5" customHeight="1">
      <c r="A10" s="950" t="s">
        <v>801</v>
      </c>
      <c r="B10" s="268" t="s">
        <v>94</v>
      </c>
      <c r="C10" s="269">
        <f>ROUND(D10*E10/10000,0)</f>
        <v>1176</v>
      </c>
      <c r="D10" s="1032">
        <f>'数据-汇总表'!E6</f>
        <v>53475.449999999968</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2549</v>
      </c>
      <c r="D19" s="1036">
        <f>'数据-汇总表'!E3</f>
        <v>127439.59000000001</v>
      </c>
      <c r="E19" s="255">
        <f>'数据-取费表'!B31</f>
        <v>200</v>
      </c>
      <c r="F19" s="275"/>
      <c r="G19" s="1" t="s">
        <v>1070</v>
      </c>
    </row>
    <row r="20" spans="1:7" s="258" customFormat="1" ht="13.5" customHeight="1">
      <c r="A20" s="948" t="s">
        <v>1053</v>
      </c>
      <c r="B20" s="254" t="s">
        <v>104</v>
      </c>
      <c r="C20" s="276">
        <f>ROUND((C5+C19)*F20,0)</f>
        <v>463</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1832</v>
      </c>
      <c r="D22" s="279">
        <f ca="1">C26</f>
        <v>8.0000000000000004E-4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1614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200</v>
      </c>
      <c r="D24" s="282"/>
      <c r="E24" s="282"/>
      <c r="F24" s="283"/>
      <c r="G24" s="284" t="s">
        <v>109</v>
      </c>
    </row>
    <row r="25" spans="1:7" s="258" customFormat="1" ht="26">
      <c r="A25" s="951" t="s">
        <v>793</v>
      </c>
      <c r="B25" s="259" t="s">
        <v>1054</v>
      </c>
      <c r="C25" s="1355">
        <f ca="1">ROUND(IF('数据-取费表'!B22&lt;=1,C20*F22*'数据-取费表'!B23/2,C20*(POWER((1+F22),'数据-取费表'!B23/2)-1)),0)</f>
        <v>18</v>
      </c>
      <c r="D25" s="282"/>
      <c r="E25" s="285"/>
      <c r="F25" s="283"/>
      <c r="G25" s="286" t="s">
        <v>110</v>
      </c>
    </row>
    <row r="26" spans="1:7" s="258" customFormat="1" ht="13">
      <c r="A26" s="951" t="s">
        <v>795</v>
      </c>
      <c r="B26" s="259" t="s">
        <v>1056</v>
      </c>
      <c r="C26" s="282">
        <f ca="1">ROUND(IF('数据-取费表'!B22&lt;=1,F21*F22*'数据-取费表'!B23/2,F21*(POWER((1+F22),'数据-取费表'!B23/2)-1)),4)</f>
        <v>8.0000000000000004E-4</v>
      </c>
      <c r="D26" s="282"/>
      <c r="E26" s="285"/>
      <c r="F26" s="283"/>
      <c r="G26" s="287"/>
    </row>
    <row r="27" spans="1:7" s="258" customFormat="1" ht="27">
      <c r="A27" s="948" t="s">
        <v>787</v>
      </c>
      <c r="B27" s="288" t="s">
        <v>112</v>
      </c>
      <c r="C27" s="289">
        <f>C28</f>
        <v>2764</v>
      </c>
      <c r="D27" s="279">
        <f>C29</f>
        <v>2.3E-3</v>
      </c>
      <c r="E27" s="280" t="s">
        <v>126</v>
      </c>
      <c r="F27" s="290">
        <f>'数据-取费表'!Q16</f>
        <v>0.18</v>
      </c>
      <c r="G27" s="291" t="s">
        <v>1065</v>
      </c>
    </row>
    <row r="28" spans="1:7" s="258" customFormat="1" ht="13.5" customHeight="1">
      <c r="A28" s="951" t="s">
        <v>794</v>
      </c>
      <c r="B28" s="292" t="s">
        <v>1058</v>
      </c>
      <c r="C28" s="293">
        <f>ROUND((C5+C19+C20)*F27*'数据-取费表'!B21/'数据-取费表'!B20,0)</f>
        <v>2764</v>
      </c>
      <c r="D28" s="279"/>
      <c r="E28" s="280"/>
      <c r="F28" s="290"/>
      <c r="G28" s="291"/>
    </row>
    <row r="29" spans="1:7" s="258" customFormat="1" ht="13.5" customHeight="1">
      <c r="A29" s="951" t="s">
        <v>792</v>
      </c>
      <c r="B29" s="292" t="s">
        <v>1059</v>
      </c>
      <c r="C29" s="282">
        <f>ROUND(C21*F27*'数据-取费表'!B21/'数据-取费表'!B20,4)</f>
        <v>2.3E-3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30553</v>
      </c>
      <c r="D31" s="274"/>
      <c r="E31" s="255"/>
      <c r="F31" s="294"/>
      <c r="G31" s="278" t="s">
        <v>1066</v>
      </c>
    </row>
    <row r="32" spans="1:7" s="252" customFormat="1" ht="16">
      <c r="A32" s="296" t="s">
        <v>114</v>
      </c>
      <c r="B32" s="297"/>
      <c r="C32" s="297"/>
      <c r="D32" s="297"/>
      <c r="E32" s="297"/>
      <c r="F32" s="297"/>
      <c r="G32" s="298"/>
    </row>
    <row r="33" spans="1:7" s="258" customFormat="1" ht="13.5" customHeight="1">
      <c r="A33" s="299" t="s">
        <v>782</v>
      </c>
      <c r="B33" s="254" t="s">
        <v>115</v>
      </c>
      <c r="C33" s="300">
        <f>SUM(C34:C38)</f>
        <v>36512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32126</v>
      </c>
      <c r="D34" s="261"/>
      <c r="E34" s="264"/>
      <c r="F34" s="301">
        <f>IF('数据-取费表'!B24=0,1,'数据-取费表'!N16)</f>
        <v>0.65</v>
      </c>
      <c r="G34" s="263" t="s">
        <v>116</v>
      </c>
    </row>
    <row r="35" spans="1:7" ht="13.5" customHeight="1">
      <c r="A35" s="951" t="s">
        <v>796</v>
      </c>
      <c r="B35" s="259" t="s">
        <v>60</v>
      </c>
      <c r="C35" s="264">
        <f>ROUND(C34*F35,0)</f>
        <v>1285</v>
      </c>
      <c r="D35" s="264"/>
      <c r="E35" s="264"/>
      <c r="F35" s="303">
        <f>'数据-取费表'!B33</f>
        <v>0.04</v>
      </c>
      <c r="G35" s="263" t="s">
        <v>117</v>
      </c>
    </row>
    <row r="36" spans="1:7" ht="26">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962</v>
      </c>
      <c r="D36" s="264"/>
      <c r="E36" s="264"/>
      <c r="F36" s="303">
        <f>'数据-取费表'!B34</f>
        <v>0.05</v>
      </c>
      <c r="G36" s="304" t="s">
        <v>62</v>
      </c>
    </row>
    <row r="37" spans="1:7" s="302" customFormat="1" ht="13.5" customHeight="1">
      <c r="A37" s="951" t="s">
        <v>798</v>
      </c>
      <c r="B37" s="259" t="s">
        <v>118</v>
      </c>
      <c r="C37" s="293">
        <f>ROUND(E37*D37*F34/10000,0)</f>
        <v>1657</v>
      </c>
      <c r="D37" s="261">
        <f>'数据-汇总表'!E3</f>
        <v>127439.59000000001</v>
      </c>
      <c r="E37" s="293">
        <f>'数据-取费表'!B35</f>
        <v>200</v>
      </c>
      <c r="F37" s="303"/>
      <c r="G37" s="305" t="s">
        <v>119</v>
      </c>
    </row>
    <row r="38" spans="1:7" ht="13.5" customHeight="1">
      <c r="A38" s="951" t="s">
        <v>799</v>
      </c>
      <c r="B38" s="259" t="s">
        <v>63</v>
      </c>
      <c r="C38" s="264">
        <f>ROUND(C34*F38,0)</f>
        <v>482</v>
      </c>
      <c r="D38" s="264"/>
      <c r="E38" s="264"/>
      <c r="F38" s="303">
        <f>'数据-取费表'!B36</f>
        <v>1.4999999999999999E-2</v>
      </c>
      <c r="G38" s="263" t="s">
        <v>117</v>
      </c>
    </row>
    <row r="39" spans="1:7" s="258" customFormat="1" ht="13.5" customHeight="1">
      <c r="A39" s="948" t="s">
        <v>783</v>
      </c>
      <c r="B39" s="254" t="s">
        <v>104</v>
      </c>
      <c r="C39" s="276">
        <f>ROUND(C33*F20,0)</f>
        <v>730</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1431</v>
      </c>
      <c r="D41" s="279">
        <f ca="1">C44</f>
        <v>8.0000000000000004E-4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1403</v>
      </c>
      <c r="D42" s="282"/>
      <c r="E42" s="282"/>
      <c r="F42" s="283"/>
      <c r="G42" s="3167" t="s">
        <v>121</v>
      </c>
    </row>
    <row r="43" spans="1:7" ht="13.5" customHeight="1">
      <c r="A43" s="951" t="s">
        <v>792</v>
      </c>
      <c r="B43" s="259" t="s">
        <v>1060</v>
      </c>
      <c r="C43" s="282">
        <f ca="1">ROUND(IF('数据-取费表'!B22&lt;=1,C39*F22*'数据-取费表'!B21/2,C39*(POWER((1+F22),'数据-取费表'!B21/2)-1)),0)</f>
        <v>28</v>
      </c>
      <c r="D43" s="282"/>
      <c r="E43" s="282"/>
      <c r="F43" s="283"/>
      <c r="G43" s="3168"/>
    </row>
    <row r="44" spans="1:7" ht="13.5" customHeight="1">
      <c r="A44" s="951" t="s">
        <v>793</v>
      </c>
      <c r="B44" s="259" t="s">
        <v>1062</v>
      </c>
      <c r="C44" s="282">
        <f ca="1">ROUND(IF('数据-取费表'!B22&lt;=1,C40*F22*'数据-取费表'!B21/2,C40*(POWER((1+F22),'数据-取费表'!B21/2)-1)),4)</f>
        <v>8.0000000000000004E-4</v>
      </c>
      <c r="D44" s="282"/>
      <c r="E44" s="282"/>
      <c r="F44" s="283"/>
      <c r="G44" s="3169"/>
    </row>
    <row r="45" spans="1:7" s="258" customFormat="1" ht="13.5" customHeight="1">
      <c r="A45" s="948" t="s">
        <v>786</v>
      </c>
      <c r="B45" s="288" t="s">
        <v>112</v>
      </c>
      <c r="C45" s="289">
        <f>C46</f>
        <v>6704</v>
      </c>
      <c r="D45" s="279">
        <f>C47</f>
        <v>3.5999999999999999E-3</v>
      </c>
      <c r="E45" s="280" t="s">
        <v>129</v>
      </c>
      <c r="F45" s="290"/>
      <c r="G45" s="291" t="s">
        <v>1068</v>
      </c>
    </row>
    <row r="46" spans="1:7" s="258" customFormat="1" ht="13.5" customHeight="1">
      <c r="A46" s="951" t="s">
        <v>794</v>
      </c>
      <c r="B46" s="292" t="s">
        <v>1061</v>
      </c>
      <c r="C46" s="293">
        <f>ROUND((C33+C39)*F27,0)</f>
        <v>6704</v>
      </c>
      <c r="D46" s="307"/>
      <c r="E46" s="280"/>
      <c r="F46" s="290"/>
      <c r="G46" s="291"/>
    </row>
    <row r="47" spans="1:7" s="258" customFormat="1" ht="13.5" customHeight="1">
      <c r="A47" s="951" t="s">
        <v>792</v>
      </c>
      <c r="B47" s="292" t="s">
        <v>1063</v>
      </c>
      <c r="C47" s="282">
        <f>ROUND(C40*F27,4)</f>
        <v>3.5999999999999999E-3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49202</v>
      </c>
      <c r="D49" s="276"/>
      <c r="E49" s="276"/>
      <c r="F49" s="308"/>
      <c r="G49" s="278" t="s">
        <v>1069</v>
      </c>
    </row>
    <row r="50" spans="1:7" s="302" customFormat="1" ht="26">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49202</v>
      </c>
      <c r="D51" s="276"/>
      <c r="E51" s="276"/>
      <c r="F51" s="308"/>
      <c r="G51" s="278" t="s">
        <v>64</v>
      </c>
    </row>
    <row r="52" spans="1:7" s="252" customFormat="1" ht="16.5" thickBot="1">
      <c r="A52" s="309" t="s">
        <v>65</v>
      </c>
      <c r="B52" s="310"/>
      <c r="C52" s="311">
        <f ca="1">C31+C51</f>
        <v>79755</v>
      </c>
      <c r="D52" s="310"/>
      <c r="E52" s="310"/>
      <c r="F52" s="310"/>
      <c r="G52" s="312"/>
    </row>
    <row r="55" spans="1:7" ht="15.5">
      <c r="B55" s="314" t="s">
        <v>66</v>
      </c>
      <c r="C55" s="315"/>
    </row>
    <row r="56" spans="1:7" ht="13">
      <c r="B56" s="317" t="s">
        <v>67</v>
      </c>
      <c r="C56" s="318">
        <f ca="1">ROUND(C51/C52,3)</f>
        <v>0.61699999999999999</v>
      </c>
    </row>
    <row r="57" spans="1:7" ht="13">
      <c r="B57" s="317" t="s">
        <v>68</v>
      </c>
      <c r="C57" s="319">
        <f ca="1">1-C56</f>
        <v>0.38300000000000001</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
  <cols>
    <col min="1" max="1" width="12.6328125" style="855" customWidth="1"/>
    <col min="2" max="5" width="10.1796875" style="813" customWidth="1"/>
    <col min="6" max="6" width="9" style="813"/>
    <col min="7" max="8" width="9" style="828"/>
    <col min="9" max="16384" width="9" style="813"/>
  </cols>
  <sheetData>
    <row r="1" spans="1:19">
      <c r="A1" s="3306" t="s">
        <v>156</v>
      </c>
      <c r="B1" s="3306"/>
      <c r="C1" s="3306"/>
      <c r="D1" s="3306"/>
      <c r="E1" s="3306"/>
      <c r="F1" s="330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5" thickBot="1">
      <c r="A2" s="3307" t="s">
        <v>169</v>
      </c>
      <c r="B2" s="3307"/>
      <c r="C2" s="3307"/>
      <c r="D2" s="3307"/>
      <c r="E2" s="3307"/>
      <c r="F2" s="330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
  <cols>
    <col min="1" max="1" width="12.6328125" style="855" customWidth="1"/>
    <col min="2" max="2" width="10.1796875" style="813" customWidth="1"/>
  </cols>
  <sheetData>
    <row r="1" spans="1:6">
      <c r="A1" s="3306" t="s">
        <v>867</v>
      </c>
      <c r="B1" s="3306"/>
    </row>
    <row r="2" spans="1:6" ht="14.5" thickBot="1">
      <c r="A2" s="1057"/>
      <c r="B2" s="1057"/>
    </row>
    <row r="3" spans="1:6" ht="14.5" thickBot="1">
      <c r="A3" s="1057"/>
      <c r="B3" s="1057"/>
      <c r="C3" s="1061" t="s">
        <v>870</v>
      </c>
      <c r="D3" s="1061" t="s">
        <v>871</v>
      </c>
      <c r="E3" s="1061" t="s">
        <v>872</v>
      </c>
      <c r="F3" s="1061" t="s">
        <v>873</v>
      </c>
    </row>
    <row r="4" spans="1:6" ht="14.5" thickBot="1">
      <c r="A4" s="1059" t="s">
        <v>868</v>
      </c>
      <c r="B4" s="1060" t="s">
        <v>869</v>
      </c>
      <c r="C4" s="1061"/>
      <c r="D4" s="1061"/>
      <c r="E4" s="1061"/>
      <c r="F4" s="1061"/>
    </row>
    <row r="5" spans="1:6" ht="14.5" thickBot="1">
      <c r="A5" s="840" t="s">
        <v>874</v>
      </c>
      <c r="B5" s="841" t="s">
        <v>875</v>
      </c>
      <c r="C5" s="1062">
        <v>8.8999999999999996E-2</v>
      </c>
      <c r="D5" s="1062">
        <v>7.3999999999999996E-2</v>
      </c>
      <c r="E5" s="1062">
        <v>7.4999999999999997E-2</v>
      </c>
      <c r="F5" s="1063">
        <v>0.1</v>
      </c>
    </row>
    <row r="6" spans="1:6" ht="14.5" thickBot="1">
      <c r="A6" s="840" t="s">
        <v>212</v>
      </c>
      <c r="B6" s="834" t="s">
        <v>876</v>
      </c>
      <c r="C6" s="1064">
        <v>0.1</v>
      </c>
      <c r="D6" s="1064">
        <v>9.0999999999999998E-2</v>
      </c>
      <c r="E6" s="1064">
        <v>9.0999999999999998E-2</v>
      </c>
      <c r="F6" s="1065">
        <v>0.1</v>
      </c>
    </row>
    <row r="7" spans="1:6" ht="14.5" thickBot="1">
      <c r="A7" s="840" t="s">
        <v>212</v>
      </c>
      <c r="B7" s="844" t="s">
        <v>201</v>
      </c>
      <c r="C7" s="1064">
        <v>8.5999999999999993E-2</v>
      </c>
      <c r="D7" s="1064">
        <v>9.6000000000000002E-2</v>
      </c>
      <c r="E7" s="1064">
        <v>7.5999999999999998E-2</v>
      </c>
      <c r="F7" s="1065">
        <v>0.1</v>
      </c>
    </row>
    <row r="8" spans="1:6" ht="14.5" thickBot="1">
      <c r="A8" s="840" t="s">
        <v>212</v>
      </c>
      <c r="B8" s="834" t="s">
        <v>213</v>
      </c>
      <c r="C8" s="1064">
        <v>9.9000000000000005E-2</v>
      </c>
      <c r="D8" s="1064">
        <v>9.8000000000000004E-2</v>
      </c>
      <c r="E8" s="1064">
        <v>9.8000000000000004E-2</v>
      </c>
      <c r="F8" s="1065">
        <v>0.1</v>
      </c>
    </row>
    <row r="9" spans="1:6" ht="14.5" thickBot="1">
      <c r="A9" s="850" t="s">
        <v>212</v>
      </c>
      <c r="B9" s="845" t="s">
        <v>225</v>
      </c>
      <c r="C9" s="1066">
        <v>0.05</v>
      </c>
      <c r="D9" s="1074"/>
      <c r="E9" s="1074"/>
      <c r="F9" s="1075"/>
    </row>
    <row r="10" spans="1:6" ht="14.5" thickBot="1">
      <c r="A10" s="840" t="s">
        <v>269</v>
      </c>
      <c r="B10" s="841" t="s">
        <v>877</v>
      </c>
      <c r="C10" s="1062">
        <v>8.8999999999999996E-2</v>
      </c>
      <c r="D10" s="1062">
        <v>7.2999999999999995E-2</v>
      </c>
      <c r="E10" s="1062">
        <v>8.2000000000000003E-2</v>
      </c>
      <c r="F10" s="1063">
        <v>0.1</v>
      </c>
    </row>
    <row r="11" spans="1:6" ht="14.5" thickBot="1">
      <c r="A11" s="840" t="s">
        <v>269</v>
      </c>
      <c r="B11" s="844" t="s">
        <v>188</v>
      </c>
      <c r="C11" s="1064">
        <v>8.8999999999999996E-2</v>
      </c>
      <c r="D11" s="1064">
        <v>7.2999999999999995E-2</v>
      </c>
      <c r="E11" s="1064">
        <v>8.2000000000000003E-2</v>
      </c>
      <c r="F11" s="1065">
        <v>0.1</v>
      </c>
    </row>
    <row r="12" spans="1:6" ht="14.5" thickBot="1">
      <c r="A12" s="840" t="s">
        <v>269</v>
      </c>
      <c r="B12" s="844" t="s">
        <v>138</v>
      </c>
      <c r="C12" s="1064">
        <v>6.0999999999999999E-2</v>
      </c>
      <c r="D12" s="1064">
        <v>7.0999999999999994E-2</v>
      </c>
      <c r="E12" s="1064">
        <v>9.6000000000000002E-2</v>
      </c>
      <c r="F12" s="1065">
        <v>0.1</v>
      </c>
    </row>
    <row r="13" spans="1:6" ht="14.5" thickBot="1">
      <c r="A13" s="840" t="s">
        <v>269</v>
      </c>
      <c r="B13" s="844" t="s">
        <v>214</v>
      </c>
      <c r="C13" s="1064">
        <v>6.9000000000000006E-2</v>
      </c>
      <c r="D13" s="1064">
        <v>6.5000000000000002E-2</v>
      </c>
      <c r="E13" s="1064">
        <v>6.6000000000000003E-2</v>
      </c>
      <c r="F13" s="1065">
        <v>0.1</v>
      </c>
    </row>
    <row r="14" spans="1:6" ht="14.5" thickBot="1">
      <c r="A14" s="840" t="s">
        <v>269</v>
      </c>
      <c r="B14" s="844" t="s">
        <v>226</v>
      </c>
      <c r="C14" s="1064">
        <v>0.1</v>
      </c>
      <c r="D14" s="1064">
        <v>6.5000000000000002E-2</v>
      </c>
      <c r="E14" s="1064">
        <v>7.0000000000000007E-2</v>
      </c>
      <c r="F14" s="1065">
        <v>0.1</v>
      </c>
    </row>
    <row r="15" spans="1:6" ht="14.5" thickBot="1">
      <c r="A15" s="840" t="s">
        <v>269</v>
      </c>
      <c r="B15" s="844" t="s">
        <v>237</v>
      </c>
      <c r="C15" s="1064">
        <v>9.8000000000000004E-2</v>
      </c>
      <c r="D15" s="1064">
        <v>8.8999999999999996E-2</v>
      </c>
      <c r="E15" s="1064">
        <v>8.8999999999999996E-2</v>
      </c>
      <c r="F15" s="1065">
        <v>0.1</v>
      </c>
    </row>
    <row r="16" spans="1:6" ht="14.5" thickBot="1">
      <c r="A16" s="840" t="s">
        <v>269</v>
      </c>
      <c r="B16" s="844" t="s">
        <v>248</v>
      </c>
      <c r="C16" s="1064">
        <v>7.0000000000000007E-2</v>
      </c>
      <c r="D16" s="1064">
        <v>9.2999999999999999E-2</v>
      </c>
      <c r="E16" s="1064">
        <v>9.6000000000000002E-2</v>
      </c>
      <c r="F16" s="1065">
        <v>0.1</v>
      </c>
    </row>
    <row r="17" spans="1:6" ht="14.5" thickBot="1">
      <c r="A17" s="840" t="s">
        <v>269</v>
      </c>
      <c r="B17" s="844" t="s">
        <v>259</v>
      </c>
      <c r="C17" s="1064">
        <v>9.5000000000000001E-2</v>
      </c>
      <c r="D17" s="1064">
        <v>0.1</v>
      </c>
      <c r="E17" s="1064">
        <v>0.1</v>
      </c>
      <c r="F17" s="1076"/>
    </row>
    <row r="18" spans="1:6" ht="14.5" thickBot="1">
      <c r="A18" s="840" t="s">
        <v>269</v>
      </c>
      <c r="B18" s="844" t="s">
        <v>271</v>
      </c>
      <c r="C18" s="1064">
        <v>7.3999999999999996E-2</v>
      </c>
      <c r="D18" s="1064">
        <v>9.9000000000000005E-2</v>
      </c>
      <c r="E18" s="1064">
        <v>0.1</v>
      </c>
      <c r="F18" s="1076"/>
    </row>
    <row r="19" spans="1:6" ht="14.5" thickBot="1">
      <c r="A19" s="840" t="s">
        <v>269</v>
      </c>
      <c r="B19" s="844" t="s">
        <v>281</v>
      </c>
      <c r="C19" s="1064">
        <v>9.9000000000000005E-2</v>
      </c>
      <c r="D19" s="1064">
        <v>7.5999999999999998E-2</v>
      </c>
      <c r="E19" s="1064">
        <v>8.6999999999999994E-2</v>
      </c>
      <c r="F19" s="1076"/>
    </row>
    <row r="20" spans="1:6" ht="14.5" thickBot="1">
      <c r="A20" s="840" t="s">
        <v>269</v>
      </c>
      <c r="B20" s="844" t="s">
        <v>291</v>
      </c>
      <c r="C20" s="1064">
        <v>9.8000000000000004E-2</v>
      </c>
      <c r="D20" s="1064">
        <v>8.5000000000000006E-2</v>
      </c>
      <c r="E20" s="1064">
        <v>8.2000000000000003E-2</v>
      </c>
      <c r="F20" s="1076"/>
    </row>
    <row r="21" spans="1:6" ht="14.5" thickBot="1">
      <c r="A21" s="840" t="s">
        <v>269</v>
      </c>
      <c r="B21" s="844" t="s">
        <v>301</v>
      </c>
      <c r="C21" s="1064">
        <v>6.6000000000000003E-2</v>
      </c>
      <c r="D21" s="1064">
        <v>6.4000000000000001E-2</v>
      </c>
      <c r="E21" s="1064">
        <v>6.5000000000000002E-2</v>
      </c>
      <c r="F21" s="1076"/>
    </row>
    <row r="22" spans="1:6" ht="14.5" thickBot="1">
      <c r="A22" s="840" t="s">
        <v>269</v>
      </c>
      <c r="B22" s="844" t="s">
        <v>878</v>
      </c>
      <c r="C22" s="1064">
        <v>0.08</v>
      </c>
      <c r="D22" s="1064">
        <v>9.8000000000000004E-2</v>
      </c>
      <c r="E22" s="1064">
        <v>9.8000000000000004E-2</v>
      </c>
      <c r="F22" s="1076"/>
    </row>
    <row r="23" spans="1:6" ht="14.5" thickBot="1">
      <c r="A23" s="840" t="s">
        <v>269</v>
      </c>
      <c r="B23" s="844" t="s">
        <v>322</v>
      </c>
      <c r="C23" s="1064">
        <v>9.9000000000000005E-2</v>
      </c>
      <c r="D23" s="1064">
        <v>9.8000000000000004E-2</v>
      </c>
      <c r="E23" s="1064">
        <v>9.0999999999999998E-2</v>
      </c>
      <c r="F23" s="1076"/>
    </row>
    <row r="24" spans="1:6" ht="14.5" thickBot="1">
      <c r="A24" s="840" t="s">
        <v>269</v>
      </c>
      <c r="B24" s="844" t="s">
        <v>333</v>
      </c>
      <c r="C24" s="1064">
        <v>8.8999999999999996E-2</v>
      </c>
      <c r="D24" s="1064">
        <v>9.7000000000000003E-2</v>
      </c>
      <c r="E24" s="1064">
        <v>7.0000000000000007E-2</v>
      </c>
      <c r="F24" s="1076"/>
    </row>
    <row r="25" spans="1:6" ht="14.5" thickBot="1">
      <c r="A25" s="840" t="s">
        <v>269</v>
      </c>
      <c r="B25" s="844" t="s">
        <v>343</v>
      </c>
      <c r="C25" s="1064">
        <v>8.8999999999999996E-2</v>
      </c>
      <c r="D25" s="1064">
        <v>0.1</v>
      </c>
      <c r="E25" s="1064">
        <v>8.1000000000000003E-2</v>
      </c>
      <c r="F25" s="1076"/>
    </row>
    <row r="26" spans="1:6" ht="14.5" thickBot="1">
      <c r="A26" s="840" t="s">
        <v>269</v>
      </c>
      <c r="B26" s="844" t="s">
        <v>353</v>
      </c>
      <c r="C26" s="1077"/>
      <c r="D26" s="1064">
        <v>9.6000000000000002E-2</v>
      </c>
      <c r="E26" s="1064">
        <v>9.2999999999999999E-2</v>
      </c>
      <c r="F26" s="1076"/>
    </row>
    <row r="27" spans="1:6" ht="14.5" thickBot="1">
      <c r="A27" s="840" t="s">
        <v>269</v>
      </c>
      <c r="B27" s="844" t="s">
        <v>363</v>
      </c>
      <c r="C27" s="1077"/>
      <c r="D27" s="1064">
        <v>7.5999999999999998E-2</v>
      </c>
      <c r="E27" s="1064">
        <v>9.1999999999999998E-2</v>
      </c>
      <c r="F27" s="1076"/>
    </row>
    <row r="28" spans="1:6" ht="14.5" thickBot="1">
      <c r="A28" s="850" t="s">
        <v>269</v>
      </c>
      <c r="B28" s="845" t="s">
        <v>373</v>
      </c>
      <c r="C28" s="1074"/>
      <c r="D28" s="1066">
        <v>7.5999999999999998E-2</v>
      </c>
      <c r="E28" s="1066">
        <v>9.1999999999999998E-2</v>
      </c>
      <c r="F28" s="1075"/>
    </row>
    <row r="29" spans="1:6" ht="14.5" thickBot="1">
      <c r="A29" s="840" t="s">
        <v>442</v>
      </c>
      <c r="B29" s="841" t="s">
        <v>879</v>
      </c>
      <c r="C29" s="1062">
        <v>6.4000000000000001E-2</v>
      </c>
      <c r="D29" s="1062">
        <v>6.5000000000000002E-2</v>
      </c>
      <c r="E29" s="1062">
        <v>6.9000000000000006E-2</v>
      </c>
      <c r="F29" s="1063">
        <v>0.1</v>
      </c>
    </row>
    <row r="30" spans="1:6" ht="14.5" thickBot="1">
      <c r="A30" s="840" t="s">
        <v>442</v>
      </c>
      <c r="B30" s="844" t="s">
        <v>189</v>
      </c>
      <c r="C30" s="1064">
        <v>6.4000000000000001E-2</v>
      </c>
      <c r="D30" s="1064">
        <v>9.9000000000000005E-2</v>
      </c>
      <c r="E30" s="1064">
        <v>0.1</v>
      </c>
      <c r="F30" s="1065">
        <v>0.1</v>
      </c>
    </row>
    <row r="31" spans="1:6" ht="14.5" thickBot="1">
      <c r="A31" s="840" t="s">
        <v>442</v>
      </c>
      <c r="B31" s="844" t="s">
        <v>202</v>
      </c>
      <c r="C31" s="1064">
        <v>0.1</v>
      </c>
      <c r="D31" s="1064">
        <v>9.5000000000000001E-2</v>
      </c>
      <c r="E31" s="1064">
        <v>8.8999999999999996E-2</v>
      </c>
      <c r="F31" s="1065">
        <v>0.1</v>
      </c>
    </row>
    <row r="32" spans="1:6" ht="14.5" thickBot="1">
      <c r="A32" s="840" t="s">
        <v>442</v>
      </c>
      <c r="B32" s="844" t="s">
        <v>215</v>
      </c>
      <c r="C32" s="1064">
        <v>0.05</v>
      </c>
      <c r="D32" s="1064">
        <v>0.05</v>
      </c>
      <c r="E32" s="1064">
        <v>8.7999999999999995E-2</v>
      </c>
      <c r="F32" s="1065">
        <v>0.1</v>
      </c>
    </row>
    <row r="33" spans="1:6" ht="14.5" thickBot="1">
      <c r="A33" s="840" t="s">
        <v>442</v>
      </c>
      <c r="B33" s="844" t="s">
        <v>227</v>
      </c>
      <c r="C33" s="1064">
        <v>7.4999999999999997E-2</v>
      </c>
      <c r="D33" s="1064">
        <v>9.4E-2</v>
      </c>
      <c r="E33" s="1064">
        <v>9.7000000000000003E-2</v>
      </c>
      <c r="F33" s="1065">
        <v>0.1</v>
      </c>
    </row>
    <row r="34" spans="1:6" ht="14.5" thickBot="1">
      <c r="A34" s="840" t="s">
        <v>442</v>
      </c>
      <c r="B34" s="844" t="s">
        <v>238</v>
      </c>
      <c r="C34" s="1064">
        <v>9.8000000000000004E-2</v>
      </c>
      <c r="D34" s="1064">
        <v>8.5999999999999993E-2</v>
      </c>
      <c r="E34" s="1064">
        <v>9.7000000000000003E-2</v>
      </c>
      <c r="F34" s="1065">
        <v>0.1</v>
      </c>
    </row>
    <row r="35" spans="1:6" ht="14.5" thickBot="1">
      <c r="A35" s="840" t="s">
        <v>442</v>
      </c>
      <c r="B35" s="844" t="s">
        <v>249</v>
      </c>
      <c r="C35" s="1064">
        <v>5.8999999999999997E-2</v>
      </c>
      <c r="D35" s="1064">
        <v>6.5000000000000002E-2</v>
      </c>
      <c r="E35" s="1064">
        <v>7.0000000000000007E-2</v>
      </c>
      <c r="F35" s="1065">
        <v>0.1</v>
      </c>
    </row>
    <row r="36" spans="1:6" ht="14.5" thickBot="1">
      <c r="A36" s="840" t="s">
        <v>442</v>
      </c>
      <c r="B36" s="844" t="s">
        <v>260</v>
      </c>
      <c r="C36" s="1064">
        <v>6.3E-2</v>
      </c>
      <c r="D36" s="1064">
        <v>0.1</v>
      </c>
      <c r="E36" s="1064">
        <v>0.1</v>
      </c>
      <c r="F36" s="1065">
        <v>0.1</v>
      </c>
    </row>
    <row r="37" spans="1:6" ht="14.5" thickBot="1">
      <c r="A37" s="840" t="s">
        <v>442</v>
      </c>
      <c r="B37" s="844" t="s">
        <v>272</v>
      </c>
      <c r="C37" s="1064">
        <v>7.3999999999999996E-2</v>
      </c>
      <c r="D37" s="1064">
        <v>0.1</v>
      </c>
      <c r="E37" s="1064">
        <v>0.1</v>
      </c>
      <c r="F37" s="1065">
        <v>0.1</v>
      </c>
    </row>
    <row r="38" spans="1:6" ht="14.5" thickBot="1">
      <c r="A38" s="840" t="s">
        <v>442</v>
      </c>
      <c r="B38" s="844" t="s">
        <v>282</v>
      </c>
      <c r="C38" s="1064">
        <v>0.1</v>
      </c>
      <c r="D38" s="1064">
        <v>9.6000000000000002E-2</v>
      </c>
      <c r="E38" s="1064">
        <v>9.6000000000000002E-2</v>
      </c>
      <c r="F38" s="1076"/>
    </row>
    <row r="39" spans="1:6" ht="14.5" thickBot="1">
      <c r="A39" s="840" t="s">
        <v>442</v>
      </c>
      <c r="B39" s="844" t="s">
        <v>292</v>
      </c>
      <c r="C39" s="1064">
        <v>0.1</v>
      </c>
      <c r="D39" s="1064">
        <v>9.6000000000000002E-2</v>
      </c>
      <c r="E39" s="1064">
        <v>9.6000000000000002E-2</v>
      </c>
      <c r="F39" s="1076"/>
    </row>
    <row r="40" spans="1:6" ht="14.5" thickBot="1">
      <c r="A40" s="840" t="s">
        <v>442</v>
      </c>
      <c r="B40" s="844" t="s">
        <v>302</v>
      </c>
      <c r="C40" s="1064">
        <v>9.6000000000000002E-2</v>
      </c>
      <c r="D40" s="1064">
        <v>0.1</v>
      </c>
      <c r="E40" s="1064">
        <v>9.9000000000000005E-2</v>
      </c>
      <c r="F40" s="1076"/>
    </row>
    <row r="41" spans="1:6" ht="14.5" thickBot="1">
      <c r="A41" s="840" t="s">
        <v>442</v>
      </c>
      <c r="B41" s="844" t="s">
        <v>312</v>
      </c>
      <c r="C41" s="1064">
        <v>9.6000000000000002E-2</v>
      </c>
      <c r="D41" s="1064">
        <v>9.8000000000000004E-2</v>
      </c>
      <c r="E41" s="1064">
        <v>9.8000000000000004E-2</v>
      </c>
      <c r="F41" s="1076"/>
    </row>
    <row r="42" spans="1:6" ht="14.5" thickBot="1">
      <c r="A42" s="840" t="s">
        <v>442</v>
      </c>
      <c r="B42" s="844" t="s">
        <v>323</v>
      </c>
      <c r="C42" s="1064">
        <v>0.1</v>
      </c>
      <c r="D42" s="1064">
        <v>8.7999999999999995E-2</v>
      </c>
      <c r="E42" s="1064">
        <v>0.1</v>
      </c>
      <c r="F42" s="1076"/>
    </row>
    <row r="43" spans="1:6" ht="14.5" thickBot="1">
      <c r="A43" s="840" t="s">
        <v>442</v>
      </c>
      <c r="B43" s="844" t="s">
        <v>334</v>
      </c>
      <c r="C43" s="1064">
        <v>9.8000000000000004E-2</v>
      </c>
      <c r="D43" s="1064">
        <v>9.7000000000000003E-2</v>
      </c>
      <c r="E43" s="1064">
        <v>9.6000000000000002E-2</v>
      </c>
      <c r="F43" s="1076"/>
    </row>
    <row r="44" spans="1:6" ht="14.5" thickBot="1">
      <c r="A44" s="840" t="s">
        <v>442</v>
      </c>
      <c r="B44" s="844" t="s">
        <v>344</v>
      </c>
      <c r="C44" s="1064">
        <v>8.5999999999999993E-2</v>
      </c>
      <c r="D44" s="1064">
        <v>7.9000000000000001E-2</v>
      </c>
      <c r="E44" s="1064">
        <v>7.0999999999999994E-2</v>
      </c>
      <c r="F44" s="1076"/>
    </row>
    <row r="45" spans="1:6" ht="14.5" thickBot="1">
      <c r="A45" s="840" t="s">
        <v>442</v>
      </c>
      <c r="B45" s="844" t="s">
        <v>354</v>
      </c>
      <c r="C45" s="1064">
        <v>9.8000000000000004E-2</v>
      </c>
      <c r="D45" s="1064">
        <v>9.6000000000000002E-2</v>
      </c>
      <c r="E45" s="1064">
        <v>9.6000000000000002E-2</v>
      </c>
      <c r="F45" s="1076"/>
    </row>
    <row r="46" spans="1:6" ht="14.5" thickBot="1">
      <c r="A46" s="840" t="s">
        <v>442</v>
      </c>
      <c r="B46" s="844" t="s">
        <v>364</v>
      </c>
      <c r="C46" s="1064">
        <v>8.5999999999999993E-2</v>
      </c>
      <c r="D46" s="1064">
        <v>9.8000000000000004E-2</v>
      </c>
      <c r="E46" s="1064">
        <v>8.7999999999999995E-2</v>
      </c>
      <c r="F46" s="1076"/>
    </row>
    <row r="47" spans="1:6" ht="14.5" thickBot="1">
      <c r="A47" s="840" t="s">
        <v>442</v>
      </c>
      <c r="B47" s="844" t="s">
        <v>374</v>
      </c>
      <c r="C47" s="1064">
        <v>9.6000000000000002E-2</v>
      </c>
      <c r="D47" s="1077"/>
      <c r="E47" s="1064">
        <v>6.9000000000000006E-2</v>
      </c>
      <c r="F47" s="1076"/>
    </row>
    <row r="48" spans="1:6" ht="14.5" thickBot="1">
      <c r="A48" s="850" t="s">
        <v>442</v>
      </c>
      <c r="B48" s="845" t="s">
        <v>383</v>
      </c>
      <c r="C48" s="1066">
        <v>9.8000000000000004E-2</v>
      </c>
      <c r="D48" s="1074"/>
      <c r="E48" s="1066">
        <v>9.5000000000000001E-2</v>
      </c>
      <c r="F48" s="1075"/>
    </row>
    <row r="49" spans="1:6" ht="14.5" thickBot="1">
      <c r="A49" s="840" t="s">
        <v>137</v>
      </c>
      <c r="B49" s="841" t="s">
        <v>880</v>
      </c>
      <c r="C49" s="1062">
        <v>9.7000000000000003E-2</v>
      </c>
      <c r="D49" s="1062">
        <v>9.5000000000000001E-2</v>
      </c>
      <c r="E49" s="1062">
        <v>9.7000000000000003E-2</v>
      </c>
      <c r="F49" s="1063">
        <v>0.1</v>
      </c>
    </row>
    <row r="50" spans="1:6" ht="14.5" thickBot="1">
      <c r="A50" s="840" t="s">
        <v>137</v>
      </c>
      <c r="B50" s="834" t="s">
        <v>190</v>
      </c>
      <c r="C50" s="1064">
        <v>7.4999999999999997E-2</v>
      </c>
      <c r="D50" s="1064">
        <v>9.5000000000000001E-2</v>
      </c>
      <c r="E50" s="1064">
        <v>0.1</v>
      </c>
      <c r="F50" s="1065">
        <v>0.1</v>
      </c>
    </row>
    <row r="51" spans="1:6" ht="14.5" thickBot="1">
      <c r="A51" s="840" t="s">
        <v>137</v>
      </c>
      <c r="B51" s="834" t="s">
        <v>203</v>
      </c>
      <c r="C51" s="1064">
        <v>9.8000000000000004E-2</v>
      </c>
      <c r="D51" s="1064">
        <v>8.8999999999999996E-2</v>
      </c>
      <c r="E51" s="1064">
        <v>0.1</v>
      </c>
      <c r="F51" s="1065">
        <v>0.1</v>
      </c>
    </row>
    <row r="52" spans="1:6" ht="14.5" thickBot="1">
      <c r="A52" s="840" t="s">
        <v>137</v>
      </c>
      <c r="B52" s="834" t="s">
        <v>216</v>
      </c>
      <c r="C52" s="1064">
        <v>9.8000000000000004E-2</v>
      </c>
      <c r="D52" s="1064">
        <v>9.7000000000000003E-2</v>
      </c>
      <c r="E52" s="1064">
        <v>8.1000000000000003E-2</v>
      </c>
      <c r="F52" s="1065">
        <v>0.1</v>
      </c>
    </row>
    <row r="53" spans="1:6" ht="14.5" thickBot="1">
      <c r="A53" s="840" t="s">
        <v>137</v>
      </c>
      <c r="B53" s="834" t="s">
        <v>228</v>
      </c>
      <c r="C53" s="1064">
        <v>9.7000000000000003E-2</v>
      </c>
      <c r="D53" s="1064">
        <v>7.5999999999999998E-2</v>
      </c>
      <c r="E53" s="1064">
        <v>7.0999999999999994E-2</v>
      </c>
      <c r="F53" s="1065">
        <v>0.1</v>
      </c>
    </row>
    <row r="54" spans="1:6" ht="14.5" thickBot="1">
      <c r="A54" s="840" t="s">
        <v>137</v>
      </c>
      <c r="B54" s="834" t="s">
        <v>239</v>
      </c>
      <c r="C54" s="1064">
        <v>7.5999999999999998E-2</v>
      </c>
      <c r="D54" s="1064">
        <v>0.1</v>
      </c>
      <c r="E54" s="1064">
        <v>9.9000000000000005E-2</v>
      </c>
      <c r="F54" s="1065">
        <v>0.1</v>
      </c>
    </row>
    <row r="55" spans="1:6" ht="14.5" thickBot="1">
      <c r="A55" s="840" t="s">
        <v>137</v>
      </c>
      <c r="B55" s="834" t="s">
        <v>250</v>
      </c>
      <c r="C55" s="1064">
        <v>0.1</v>
      </c>
      <c r="D55" s="1064">
        <v>0.1</v>
      </c>
      <c r="E55" s="1064">
        <v>9.6000000000000002E-2</v>
      </c>
      <c r="F55" s="1065">
        <v>0.1</v>
      </c>
    </row>
    <row r="56" spans="1:6" ht="14.5" thickBot="1">
      <c r="A56" s="840" t="s">
        <v>137</v>
      </c>
      <c r="B56" s="834" t="s">
        <v>261</v>
      </c>
      <c r="C56" s="1064">
        <v>0.1</v>
      </c>
      <c r="D56" s="1064">
        <v>9.6000000000000002E-2</v>
      </c>
      <c r="E56" s="1064">
        <v>5.1999999999999998E-2</v>
      </c>
      <c r="F56" s="1065">
        <v>0.1</v>
      </c>
    </row>
    <row r="57" spans="1:6" ht="14.5" thickBot="1">
      <c r="A57" s="840" t="s">
        <v>137</v>
      </c>
      <c r="B57" s="834" t="s">
        <v>273</v>
      </c>
      <c r="C57" s="1064">
        <v>9.7000000000000003E-2</v>
      </c>
      <c r="D57" s="1064">
        <v>9.6000000000000002E-2</v>
      </c>
      <c r="E57" s="1064">
        <v>9.6000000000000002E-2</v>
      </c>
      <c r="F57" s="1065">
        <v>0.1</v>
      </c>
    </row>
    <row r="58" spans="1:6" ht="14.5" thickBot="1">
      <c r="A58" s="840" t="s">
        <v>137</v>
      </c>
      <c r="B58" s="834" t="s">
        <v>283</v>
      </c>
      <c r="C58" s="1064">
        <v>9.6000000000000002E-2</v>
      </c>
      <c r="D58" s="1064">
        <v>9.9000000000000005E-2</v>
      </c>
      <c r="E58" s="1064">
        <v>9.6000000000000002E-2</v>
      </c>
      <c r="F58" s="1065">
        <v>0.1</v>
      </c>
    </row>
    <row r="59" spans="1:6" ht="14.5" thickBot="1">
      <c r="A59" s="840" t="s">
        <v>137</v>
      </c>
      <c r="B59" s="834" t="s">
        <v>293</v>
      </c>
      <c r="C59" s="1064">
        <v>7.1999999999999995E-2</v>
      </c>
      <c r="D59" s="1064">
        <v>9.6000000000000002E-2</v>
      </c>
      <c r="E59" s="1064">
        <v>7.0999999999999994E-2</v>
      </c>
      <c r="F59" s="1065">
        <v>0.1</v>
      </c>
    </row>
    <row r="60" spans="1:6" ht="14.5" thickBot="1">
      <c r="A60" s="840" t="s">
        <v>137</v>
      </c>
      <c r="B60" s="834" t="s">
        <v>303</v>
      </c>
      <c r="C60" s="1064">
        <v>9.6000000000000002E-2</v>
      </c>
      <c r="D60" s="1064">
        <v>8.8999999999999996E-2</v>
      </c>
      <c r="E60" s="1064">
        <v>9.6000000000000002E-2</v>
      </c>
      <c r="F60" s="1065">
        <v>0.1</v>
      </c>
    </row>
    <row r="61" spans="1:6" ht="14.5" thickBot="1">
      <c r="A61" s="840" t="s">
        <v>137</v>
      </c>
      <c r="B61" s="834" t="s">
        <v>313</v>
      </c>
      <c r="C61" s="1064">
        <v>8.8999999999999996E-2</v>
      </c>
      <c r="D61" s="1064">
        <v>9.8000000000000004E-2</v>
      </c>
      <c r="E61" s="1064">
        <v>8.7999999999999995E-2</v>
      </c>
      <c r="F61" s="1076"/>
    </row>
    <row r="62" spans="1:6" ht="14.5" thickBot="1">
      <c r="A62" s="840" t="s">
        <v>137</v>
      </c>
      <c r="B62" s="834" t="s">
        <v>324</v>
      </c>
      <c r="C62" s="1064">
        <v>9.8000000000000004E-2</v>
      </c>
      <c r="D62" s="1064">
        <v>9.2999999999999999E-2</v>
      </c>
      <c r="E62" s="1064">
        <v>9.7000000000000003E-2</v>
      </c>
      <c r="F62" s="1076"/>
    </row>
    <row r="63" spans="1:6" ht="14.5" thickBot="1">
      <c r="A63" s="840" t="s">
        <v>137</v>
      </c>
      <c r="B63" s="834" t="s">
        <v>335</v>
      </c>
      <c r="C63" s="1064">
        <v>9.6000000000000002E-2</v>
      </c>
      <c r="D63" s="1064">
        <v>9.8000000000000004E-2</v>
      </c>
      <c r="E63" s="1064">
        <v>0.09</v>
      </c>
      <c r="F63" s="1076"/>
    </row>
    <row r="64" spans="1:6" ht="14.5" thickBot="1">
      <c r="A64" s="840" t="s">
        <v>137</v>
      </c>
      <c r="B64" s="834" t="s">
        <v>345</v>
      </c>
      <c r="C64" s="1064">
        <v>9.9000000000000005E-2</v>
      </c>
      <c r="D64" s="1064">
        <v>9.7000000000000003E-2</v>
      </c>
      <c r="E64" s="1064">
        <v>9.9000000000000005E-2</v>
      </c>
      <c r="F64" s="1076"/>
    </row>
    <row r="65" spans="1:6" ht="14.5" thickBot="1">
      <c r="A65" s="840" t="s">
        <v>137</v>
      </c>
      <c r="B65" s="834" t="s">
        <v>355</v>
      </c>
      <c r="C65" s="1064">
        <v>9.8000000000000004E-2</v>
      </c>
      <c r="D65" s="1064">
        <v>9.6000000000000002E-2</v>
      </c>
      <c r="E65" s="1064">
        <v>9.6000000000000002E-2</v>
      </c>
      <c r="F65" s="1076"/>
    </row>
    <row r="66" spans="1:6" ht="14.5" thickBot="1">
      <c r="A66" s="840" t="s">
        <v>137</v>
      </c>
      <c r="B66" s="834" t="s">
        <v>365</v>
      </c>
      <c r="C66" s="1064">
        <v>9.6000000000000002E-2</v>
      </c>
      <c r="D66" s="1064">
        <v>9.1999999999999998E-2</v>
      </c>
      <c r="E66" s="1064">
        <v>9.6000000000000002E-2</v>
      </c>
      <c r="F66" s="1076"/>
    </row>
    <row r="67" spans="1:6" ht="14.5" thickBot="1">
      <c r="A67" s="840" t="s">
        <v>137</v>
      </c>
      <c r="B67" s="834" t="s">
        <v>375</v>
      </c>
      <c r="C67" s="1064">
        <v>9.4E-2</v>
      </c>
      <c r="D67" s="1064">
        <v>0.1</v>
      </c>
      <c r="E67" s="1064">
        <v>8.7999999999999995E-2</v>
      </c>
      <c r="F67" s="1076"/>
    </row>
    <row r="68" spans="1:6" ht="14.5" thickBot="1">
      <c r="A68" s="840" t="s">
        <v>137</v>
      </c>
      <c r="B68" s="834" t="s">
        <v>384</v>
      </c>
      <c r="C68" s="1064">
        <v>0.1</v>
      </c>
      <c r="D68" s="1064">
        <v>8.7999999999999995E-2</v>
      </c>
      <c r="E68" s="1064">
        <v>9.7000000000000003E-2</v>
      </c>
      <c r="F68" s="1076"/>
    </row>
    <row r="69" spans="1:6" ht="14.5" thickBot="1">
      <c r="A69" s="840" t="s">
        <v>137</v>
      </c>
      <c r="B69" s="834" t="s">
        <v>393</v>
      </c>
      <c r="C69" s="1064">
        <v>6.4000000000000001E-2</v>
      </c>
      <c r="D69" s="1064">
        <v>0.1</v>
      </c>
      <c r="E69" s="1064">
        <v>0.1</v>
      </c>
      <c r="F69" s="1076"/>
    </row>
    <row r="70" spans="1:6" ht="14.5" thickBot="1">
      <c r="A70" s="840" t="s">
        <v>137</v>
      </c>
      <c r="B70" s="834" t="s">
        <v>401</v>
      </c>
      <c r="C70" s="1064">
        <v>9.0999999999999998E-2</v>
      </c>
      <c r="D70" s="1077"/>
      <c r="E70" s="1077"/>
      <c r="F70" s="1076"/>
    </row>
    <row r="71" spans="1:6" ht="14.5" thickBot="1">
      <c r="A71" s="840" t="s">
        <v>137</v>
      </c>
      <c r="B71" s="834" t="s">
        <v>408</v>
      </c>
      <c r="C71" s="1064">
        <v>0.1</v>
      </c>
      <c r="D71" s="1077"/>
      <c r="E71" s="1077"/>
      <c r="F71" s="1076"/>
    </row>
    <row r="72" spans="1:6" ht="26.5" thickBot="1">
      <c r="A72" s="840" t="s">
        <v>137</v>
      </c>
      <c r="B72" s="834" t="s">
        <v>881</v>
      </c>
      <c r="C72" s="1077"/>
      <c r="D72" s="1077"/>
      <c r="E72" s="1077"/>
      <c r="F72" s="1065">
        <v>0.05</v>
      </c>
    </row>
    <row r="73" spans="1:6" ht="26.5" thickBot="1">
      <c r="A73" s="840" t="s">
        <v>137</v>
      </c>
      <c r="B73" s="834" t="s">
        <v>882</v>
      </c>
      <c r="C73" s="1077"/>
      <c r="D73" s="1077"/>
      <c r="E73" s="1077"/>
      <c r="F73" s="1065">
        <v>0.05</v>
      </c>
    </row>
    <row r="74" spans="1:6" ht="26.5" thickBot="1">
      <c r="A74" s="840" t="s">
        <v>137</v>
      </c>
      <c r="B74" s="834" t="s">
        <v>883</v>
      </c>
      <c r="C74" s="1077"/>
      <c r="D74" s="1077"/>
      <c r="E74" s="1077"/>
      <c r="F74" s="1065">
        <v>0.05</v>
      </c>
    </row>
    <row r="75" spans="1:6" ht="26.5" thickBot="1">
      <c r="A75" s="850" t="s">
        <v>137</v>
      </c>
      <c r="B75" s="846" t="s">
        <v>884</v>
      </c>
      <c r="C75" s="1074"/>
      <c r="D75" s="1074"/>
      <c r="E75" s="1074"/>
      <c r="F75" s="1067">
        <v>0.05</v>
      </c>
    </row>
    <row r="76" spans="1:6" ht="14.5" thickBot="1">
      <c r="A76" s="840" t="s">
        <v>523</v>
      </c>
      <c r="B76" s="841" t="s">
        <v>885</v>
      </c>
      <c r="C76" s="1062">
        <v>0.1</v>
      </c>
      <c r="D76" s="1062">
        <v>0.1</v>
      </c>
      <c r="E76" s="1062">
        <v>0.1</v>
      </c>
      <c r="F76" s="1063">
        <v>0.1</v>
      </c>
    </row>
    <row r="77" spans="1:6" ht="14.5" thickBot="1">
      <c r="A77" s="840" t="s">
        <v>523</v>
      </c>
      <c r="B77" s="834" t="s">
        <v>191</v>
      </c>
      <c r="C77" s="1064">
        <v>8.7999999999999995E-2</v>
      </c>
      <c r="D77" s="1064">
        <v>8.6999999999999994E-2</v>
      </c>
      <c r="E77" s="1064">
        <v>7.9000000000000001E-2</v>
      </c>
      <c r="F77" s="1065">
        <v>0.1</v>
      </c>
    </row>
    <row r="78" spans="1:6" ht="14.5" thickBot="1">
      <c r="A78" s="840" t="s">
        <v>523</v>
      </c>
      <c r="B78" s="834" t="s">
        <v>204</v>
      </c>
      <c r="C78" s="1064">
        <v>8.6999999999999994E-2</v>
      </c>
      <c r="D78" s="1064">
        <v>8.4000000000000005E-2</v>
      </c>
      <c r="E78" s="1064">
        <v>9.6000000000000002E-2</v>
      </c>
      <c r="F78" s="1065">
        <v>0.1</v>
      </c>
    </row>
    <row r="79" spans="1:6" ht="14.5" thickBot="1">
      <c r="A79" s="840" t="s">
        <v>523</v>
      </c>
      <c r="B79" s="834" t="s">
        <v>217</v>
      </c>
      <c r="C79" s="1064">
        <v>9.8000000000000004E-2</v>
      </c>
      <c r="D79" s="1064">
        <v>9.8000000000000004E-2</v>
      </c>
      <c r="E79" s="1064">
        <v>9.0999999999999998E-2</v>
      </c>
      <c r="F79" s="1065">
        <v>0.1</v>
      </c>
    </row>
    <row r="80" spans="1:6" ht="14.5" thickBot="1">
      <c r="A80" s="840" t="s">
        <v>523</v>
      </c>
      <c r="B80" s="834" t="s">
        <v>229</v>
      </c>
      <c r="C80" s="1064">
        <v>9.6000000000000002E-2</v>
      </c>
      <c r="D80" s="1064">
        <v>9.6000000000000002E-2</v>
      </c>
      <c r="E80" s="1064">
        <v>0.1</v>
      </c>
      <c r="F80" s="1065">
        <v>0.1</v>
      </c>
    </row>
    <row r="81" spans="1:6" ht="14.5" thickBot="1">
      <c r="A81" s="840" t="s">
        <v>523</v>
      </c>
      <c r="B81" s="834" t="s">
        <v>240</v>
      </c>
      <c r="C81" s="1064">
        <v>9.9000000000000005E-2</v>
      </c>
      <c r="D81" s="1064">
        <v>9.9000000000000005E-2</v>
      </c>
      <c r="E81" s="1064">
        <v>9.8000000000000004E-2</v>
      </c>
      <c r="F81" s="1065">
        <v>0.1</v>
      </c>
    </row>
    <row r="82" spans="1:6" ht="14.5" thickBot="1">
      <c r="A82" s="840" t="s">
        <v>523</v>
      </c>
      <c r="B82" s="834" t="s">
        <v>251</v>
      </c>
      <c r="C82" s="1064">
        <v>9.9000000000000005E-2</v>
      </c>
      <c r="D82" s="1064">
        <v>9.9000000000000005E-2</v>
      </c>
      <c r="E82" s="1064">
        <v>9.7000000000000003E-2</v>
      </c>
      <c r="F82" s="1065">
        <v>0.1</v>
      </c>
    </row>
    <row r="83" spans="1:6" ht="14.5" thickBot="1">
      <c r="A83" s="840" t="s">
        <v>523</v>
      </c>
      <c r="B83" s="834" t="s">
        <v>262</v>
      </c>
      <c r="C83" s="1064">
        <v>9.8000000000000004E-2</v>
      </c>
      <c r="D83" s="1064">
        <v>9.8000000000000004E-2</v>
      </c>
      <c r="E83" s="1064">
        <v>9.8000000000000004E-2</v>
      </c>
      <c r="F83" s="1065">
        <v>0.1</v>
      </c>
    </row>
    <row r="84" spans="1:6" ht="14.5" thickBot="1">
      <c r="A84" s="840" t="s">
        <v>523</v>
      </c>
      <c r="B84" s="834" t="s">
        <v>274</v>
      </c>
      <c r="C84" s="1064">
        <v>9.9000000000000005E-2</v>
      </c>
      <c r="D84" s="1064">
        <v>9.9000000000000005E-2</v>
      </c>
      <c r="E84" s="1064">
        <v>9.9000000000000005E-2</v>
      </c>
      <c r="F84" s="1065">
        <v>0.1</v>
      </c>
    </row>
    <row r="85" spans="1:6" ht="14.5" thickBot="1">
      <c r="A85" s="840" t="s">
        <v>523</v>
      </c>
      <c r="B85" s="834" t="s">
        <v>284</v>
      </c>
      <c r="C85" s="1064">
        <v>9.9000000000000005E-2</v>
      </c>
      <c r="D85" s="1064">
        <v>9.9000000000000005E-2</v>
      </c>
      <c r="E85" s="1064">
        <v>9.9000000000000005E-2</v>
      </c>
      <c r="F85" s="1065">
        <v>0.1</v>
      </c>
    </row>
    <row r="86" spans="1:6" ht="14.5" thickBot="1">
      <c r="A86" s="840" t="s">
        <v>523</v>
      </c>
      <c r="B86" s="834" t="s">
        <v>294</v>
      </c>
      <c r="C86" s="1064">
        <v>0.1</v>
      </c>
      <c r="D86" s="1064">
        <v>0.1</v>
      </c>
      <c r="E86" s="1064">
        <v>7.6999999999999999E-2</v>
      </c>
      <c r="F86" s="1065">
        <v>0.1</v>
      </c>
    </row>
    <row r="87" spans="1:6" ht="14.5" thickBot="1">
      <c r="A87" s="840" t="s">
        <v>523</v>
      </c>
      <c r="B87" s="834" t="s">
        <v>304</v>
      </c>
      <c r="C87" s="1064">
        <v>0.1</v>
      </c>
      <c r="D87" s="1064">
        <v>0.1</v>
      </c>
      <c r="E87" s="1064">
        <v>9.8000000000000004E-2</v>
      </c>
      <c r="F87" s="1076"/>
    </row>
    <row r="88" spans="1:6" ht="14.5" thickBot="1">
      <c r="A88" s="840" t="s">
        <v>523</v>
      </c>
      <c r="B88" s="834" t="s">
        <v>314</v>
      </c>
      <c r="C88" s="1064">
        <v>9.1999999999999998E-2</v>
      </c>
      <c r="D88" s="1064">
        <v>8.5000000000000006E-2</v>
      </c>
      <c r="E88" s="1064">
        <v>9.6000000000000002E-2</v>
      </c>
      <c r="F88" s="1076"/>
    </row>
    <row r="89" spans="1:6" ht="14.5" thickBot="1">
      <c r="A89" s="840" t="s">
        <v>523</v>
      </c>
      <c r="B89" s="834" t="s">
        <v>325</v>
      </c>
      <c r="C89" s="1064">
        <v>0.1</v>
      </c>
      <c r="D89" s="1064">
        <v>0.1</v>
      </c>
      <c r="E89" s="1064">
        <v>9.7000000000000003E-2</v>
      </c>
      <c r="F89" s="1076"/>
    </row>
    <row r="90" spans="1:6" ht="14.5" thickBot="1">
      <c r="A90" s="840" t="s">
        <v>523</v>
      </c>
      <c r="B90" s="834" t="s">
        <v>336</v>
      </c>
      <c r="C90" s="1064">
        <v>9.8000000000000004E-2</v>
      </c>
      <c r="D90" s="1064">
        <v>9.8000000000000004E-2</v>
      </c>
      <c r="E90" s="1064">
        <v>8.7999999999999995E-2</v>
      </c>
      <c r="F90" s="1076"/>
    </row>
    <row r="91" spans="1:6" ht="14.5" thickBot="1">
      <c r="A91" s="840" t="s">
        <v>523</v>
      </c>
      <c r="B91" s="834" t="s">
        <v>346</v>
      </c>
      <c r="C91" s="1064">
        <v>9.9000000000000005E-2</v>
      </c>
      <c r="D91" s="1064">
        <v>9.9000000000000005E-2</v>
      </c>
      <c r="E91" s="1064">
        <v>9.0999999999999998E-2</v>
      </c>
      <c r="F91" s="1076"/>
    </row>
    <row r="92" spans="1:6" ht="14.5" thickBot="1">
      <c r="A92" s="840" t="s">
        <v>523</v>
      </c>
      <c r="B92" s="834" t="s">
        <v>356</v>
      </c>
      <c r="C92" s="1064">
        <v>9.6000000000000002E-2</v>
      </c>
      <c r="D92" s="1064">
        <v>9.6000000000000002E-2</v>
      </c>
      <c r="E92" s="1064">
        <v>7.2999999999999995E-2</v>
      </c>
      <c r="F92" s="1076"/>
    </row>
    <row r="93" spans="1:6" ht="14.5" thickBot="1">
      <c r="A93" s="840" t="s">
        <v>523</v>
      </c>
      <c r="B93" s="834" t="s">
        <v>366</v>
      </c>
      <c r="C93" s="1064">
        <v>9.6000000000000002E-2</v>
      </c>
      <c r="D93" s="1064">
        <v>9.6000000000000002E-2</v>
      </c>
      <c r="E93" s="1064">
        <v>9.9000000000000005E-2</v>
      </c>
      <c r="F93" s="1076"/>
    </row>
    <row r="94" spans="1:6" ht="14.5" thickBot="1">
      <c r="A94" s="840" t="s">
        <v>523</v>
      </c>
      <c r="B94" s="834" t="s">
        <v>376</v>
      </c>
      <c r="C94" s="1064">
        <v>7.5999999999999998E-2</v>
      </c>
      <c r="D94" s="1064">
        <v>7.3999999999999996E-2</v>
      </c>
      <c r="E94" s="1064">
        <v>9.7000000000000003E-2</v>
      </c>
      <c r="F94" s="1076"/>
    </row>
    <row r="95" spans="1:6" ht="14.5" thickBot="1">
      <c r="A95" s="840" t="s">
        <v>523</v>
      </c>
      <c r="B95" s="834" t="s">
        <v>385</v>
      </c>
      <c r="C95" s="1064">
        <v>9.9000000000000005E-2</v>
      </c>
      <c r="D95" s="1064">
        <v>9.4E-2</v>
      </c>
      <c r="E95" s="1064">
        <v>9.6000000000000002E-2</v>
      </c>
      <c r="F95" s="1076"/>
    </row>
    <row r="96" spans="1:6" ht="14.5" thickBot="1">
      <c r="A96" s="840" t="s">
        <v>523</v>
      </c>
      <c r="B96" s="834" t="s">
        <v>394</v>
      </c>
      <c r="C96" s="1064">
        <v>9.9000000000000005E-2</v>
      </c>
      <c r="D96" s="1064">
        <v>9.9000000000000005E-2</v>
      </c>
      <c r="E96" s="1064">
        <v>9.9000000000000005E-2</v>
      </c>
      <c r="F96" s="1076"/>
    </row>
    <row r="97" spans="1:6" ht="14.5" thickBot="1">
      <c r="A97" s="840" t="s">
        <v>523</v>
      </c>
      <c r="B97" s="834" t="s">
        <v>402</v>
      </c>
      <c r="C97" s="1064">
        <v>9.8000000000000004E-2</v>
      </c>
      <c r="D97" s="1064">
        <v>9.8000000000000004E-2</v>
      </c>
      <c r="E97" s="1064">
        <v>9.7000000000000003E-2</v>
      </c>
      <c r="F97" s="1076"/>
    </row>
    <row r="98" spans="1:6" ht="14.5" thickBot="1">
      <c r="A98" s="840" t="s">
        <v>523</v>
      </c>
      <c r="B98" s="834" t="s">
        <v>409</v>
      </c>
      <c r="C98" s="1064">
        <v>0.1</v>
      </c>
      <c r="D98" s="1064">
        <v>0.1</v>
      </c>
      <c r="E98" s="1064">
        <v>9.7000000000000003E-2</v>
      </c>
      <c r="F98" s="1076"/>
    </row>
    <row r="99" spans="1:6" ht="14.5" thickBot="1">
      <c r="A99" s="840" t="s">
        <v>523</v>
      </c>
      <c r="B99" s="834" t="s">
        <v>416</v>
      </c>
      <c r="C99" s="1064">
        <v>0.1</v>
      </c>
      <c r="D99" s="1064">
        <v>0.1</v>
      </c>
      <c r="E99" s="1077"/>
      <c r="F99" s="1076"/>
    </row>
    <row r="100" spans="1:6" ht="14.5" thickBot="1">
      <c r="A100" s="840" t="s">
        <v>523</v>
      </c>
      <c r="B100" s="834" t="s">
        <v>423</v>
      </c>
      <c r="C100" s="1064">
        <v>0.09</v>
      </c>
      <c r="D100" s="1064">
        <v>8.8999999999999996E-2</v>
      </c>
      <c r="E100" s="1077"/>
      <c r="F100" s="1076"/>
    </row>
    <row r="101" spans="1:6" ht="14.5" thickBot="1">
      <c r="A101" s="840" t="s">
        <v>523</v>
      </c>
      <c r="B101" s="834" t="s">
        <v>430</v>
      </c>
      <c r="C101" s="1064">
        <v>9.8000000000000004E-2</v>
      </c>
      <c r="D101" s="1064">
        <v>9.7000000000000003E-2</v>
      </c>
      <c r="E101" s="1077"/>
      <c r="F101" s="1076"/>
    </row>
    <row r="102" spans="1:6" ht="26.5" thickBot="1">
      <c r="A102" s="840" t="s">
        <v>523</v>
      </c>
      <c r="B102" s="834" t="s">
        <v>886</v>
      </c>
      <c r="C102" s="1077"/>
      <c r="D102" s="1077"/>
      <c r="E102" s="1077"/>
      <c r="F102" s="1065">
        <v>0.05</v>
      </c>
    </row>
    <row r="103" spans="1:6" ht="26.5" thickBot="1">
      <c r="A103" s="840" t="s">
        <v>523</v>
      </c>
      <c r="B103" s="834" t="s">
        <v>887</v>
      </c>
      <c r="C103" s="1077"/>
      <c r="D103" s="1077"/>
      <c r="E103" s="1077"/>
      <c r="F103" s="1065">
        <v>0.05</v>
      </c>
    </row>
    <row r="104" spans="1:6" ht="14.5" thickBot="1">
      <c r="A104" s="840" t="s">
        <v>523</v>
      </c>
      <c r="B104" s="834" t="s">
        <v>888</v>
      </c>
      <c r="C104" s="1077"/>
      <c r="D104" s="1077"/>
      <c r="E104" s="1077"/>
      <c r="F104" s="1065">
        <v>0.05</v>
      </c>
    </row>
    <row r="105" spans="1:6" ht="26.5" thickBot="1">
      <c r="A105" s="840" t="s">
        <v>523</v>
      </c>
      <c r="B105" s="834" t="s">
        <v>889</v>
      </c>
      <c r="C105" s="1077"/>
      <c r="D105" s="1077"/>
      <c r="E105" s="1077"/>
      <c r="F105" s="1065">
        <v>0.05</v>
      </c>
    </row>
    <row r="106" spans="1:6" ht="26.5" thickBot="1">
      <c r="A106" s="840" t="s">
        <v>523</v>
      </c>
      <c r="B106" s="834" t="s">
        <v>890</v>
      </c>
      <c r="C106" s="1077"/>
      <c r="D106" s="1077"/>
      <c r="E106" s="1077"/>
      <c r="F106" s="1065">
        <v>0.05</v>
      </c>
    </row>
    <row r="107" spans="1:6" ht="26.5" thickBot="1">
      <c r="A107" s="840" t="s">
        <v>523</v>
      </c>
      <c r="B107" s="834" t="s">
        <v>891</v>
      </c>
      <c r="C107" s="1077"/>
      <c r="D107" s="1077"/>
      <c r="E107" s="1077"/>
      <c r="F107" s="1065">
        <v>0.05</v>
      </c>
    </row>
    <row r="108" spans="1:6" ht="26.5" thickBot="1">
      <c r="A108" s="840" t="s">
        <v>523</v>
      </c>
      <c r="B108" s="834" t="s">
        <v>892</v>
      </c>
      <c r="C108" s="1077"/>
      <c r="D108" s="1077"/>
      <c r="E108" s="1077"/>
      <c r="F108" s="1065">
        <v>0.05</v>
      </c>
    </row>
    <row r="109" spans="1:6" ht="26.5" thickBot="1">
      <c r="A109" s="850" t="s">
        <v>523</v>
      </c>
      <c r="B109" s="846" t="s">
        <v>893</v>
      </c>
      <c r="C109" s="1074"/>
      <c r="D109" s="1074"/>
      <c r="E109" s="1074"/>
      <c r="F109" s="1067">
        <v>0.05</v>
      </c>
    </row>
    <row r="110" spans="1:6" ht="14.5" thickBot="1">
      <c r="A110" s="840" t="s">
        <v>56</v>
      </c>
      <c r="B110" s="841" t="s">
        <v>894</v>
      </c>
      <c r="C110" s="1062">
        <v>0.129</v>
      </c>
      <c r="D110" s="1062">
        <v>0.129</v>
      </c>
      <c r="E110" s="1062">
        <v>0.126</v>
      </c>
      <c r="F110" s="1063">
        <v>0.13</v>
      </c>
    </row>
    <row r="111" spans="1:6" ht="14.5" thickBot="1">
      <c r="A111" s="840" t="s">
        <v>56</v>
      </c>
      <c r="B111" s="834" t="s">
        <v>192</v>
      </c>
      <c r="C111" s="1064">
        <v>0.11</v>
      </c>
      <c r="D111" s="1064">
        <v>0.11</v>
      </c>
      <c r="E111" s="1064">
        <v>9.9000000000000005E-2</v>
      </c>
      <c r="F111" s="1065">
        <v>0.128</v>
      </c>
    </row>
    <row r="112" spans="1:6" ht="14.5" thickBot="1">
      <c r="A112" s="840" t="s">
        <v>56</v>
      </c>
      <c r="B112" s="834" t="s">
        <v>205</v>
      </c>
      <c r="C112" s="1064">
        <v>0.125</v>
      </c>
      <c r="D112" s="1064">
        <v>0.125</v>
      </c>
      <c r="E112" s="1064">
        <v>0.12</v>
      </c>
      <c r="F112" s="1065">
        <v>0.125</v>
      </c>
    </row>
    <row r="113" spans="1:6" ht="14.5" thickBot="1">
      <c r="A113" s="840" t="s">
        <v>56</v>
      </c>
      <c r="B113" s="834" t="s">
        <v>218</v>
      </c>
      <c r="C113" s="1064">
        <v>0.13</v>
      </c>
      <c r="D113" s="1064">
        <v>0.13</v>
      </c>
      <c r="E113" s="1064">
        <v>0.13</v>
      </c>
      <c r="F113" s="1065">
        <v>0.13</v>
      </c>
    </row>
    <row r="114" spans="1:6" ht="14.5" thickBot="1">
      <c r="A114" s="840" t="s">
        <v>56</v>
      </c>
      <c r="B114" s="834" t="s">
        <v>230</v>
      </c>
      <c r="C114" s="1064">
        <v>0.123</v>
      </c>
      <c r="D114" s="1064">
        <v>0.123</v>
      </c>
      <c r="E114" s="1064">
        <v>0.12</v>
      </c>
      <c r="F114" s="1065">
        <v>0.13</v>
      </c>
    </row>
    <row r="115" spans="1:6" ht="14.5" thickBot="1">
      <c r="A115" s="840" t="s">
        <v>56</v>
      </c>
      <c r="B115" s="834" t="s">
        <v>241</v>
      </c>
      <c r="C115" s="1064">
        <v>0.125</v>
      </c>
      <c r="D115" s="1064">
        <v>0.125</v>
      </c>
      <c r="E115" s="1064">
        <v>0.11700000000000001</v>
      </c>
      <c r="F115" s="1065">
        <v>0.13</v>
      </c>
    </row>
    <row r="116" spans="1:6" ht="14.5" thickBot="1">
      <c r="A116" s="840" t="s">
        <v>56</v>
      </c>
      <c r="B116" s="834" t="s">
        <v>252</v>
      </c>
      <c r="C116" s="1064">
        <v>0.11700000000000001</v>
      </c>
      <c r="D116" s="1064">
        <v>0.11700000000000001</v>
      </c>
      <c r="E116" s="1064">
        <v>8.7999999999999995E-2</v>
      </c>
      <c r="F116" s="1065">
        <v>0.13</v>
      </c>
    </row>
    <row r="117" spans="1:6" ht="14.5" thickBot="1">
      <c r="A117" s="840" t="s">
        <v>56</v>
      </c>
      <c r="B117" s="834" t="s">
        <v>263</v>
      </c>
      <c r="C117" s="1064">
        <v>0.13</v>
      </c>
      <c r="D117" s="1064">
        <v>0.13</v>
      </c>
      <c r="E117" s="1064">
        <v>0.129</v>
      </c>
      <c r="F117" s="1065">
        <v>0.13</v>
      </c>
    </row>
    <row r="118" spans="1:6" ht="14.5" thickBot="1">
      <c r="A118" s="840" t="s">
        <v>56</v>
      </c>
      <c r="B118" s="834" t="s">
        <v>275</v>
      </c>
      <c r="C118" s="1064">
        <v>0.123</v>
      </c>
      <c r="D118" s="1064">
        <v>0.123</v>
      </c>
      <c r="E118" s="1064">
        <v>0.11600000000000001</v>
      </c>
      <c r="F118" s="1065">
        <v>0.13</v>
      </c>
    </row>
    <row r="119" spans="1:6" ht="14.5" thickBot="1">
      <c r="A119" s="840" t="s">
        <v>56</v>
      </c>
      <c r="B119" s="834" t="s">
        <v>285</v>
      </c>
      <c r="C119" s="1064">
        <v>0.127</v>
      </c>
      <c r="D119" s="1064">
        <v>0.127</v>
      </c>
      <c r="E119" s="1064">
        <v>0.124</v>
      </c>
      <c r="F119" s="1065">
        <v>0.13</v>
      </c>
    </row>
    <row r="120" spans="1:6" ht="14.5" thickBot="1">
      <c r="A120" s="840" t="s">
        <v>56</v>
      </c>
      <c r="B120" s="834" t="s">
        <v>295</v>
      </c>
      <c r="C120" s="1064">
        <v>0.125</v>
      </c>
      <c r="D120" s="1064">
        <v>0.125</v>
      </c>
      <c r="E120" s="1064">
        <v>0.122</v>
      </c>
      <c r="F120" s="1065">
        <v>0.13</v>
      </c>
    </row>
    <row r="121" spans="1:6" ht="14.5" thickBot="1">
      <c r="A121" s="840" t="s">
        <v>56</v>
      </c>
      <c r="B121" s="834" t="s">
        <v>305</v>
      </c>
      <c r="C121" s="1064">
        <v>0.13</v>
      </c>
      <c r="D121" s="1064">
        <v>0.13</v>
      </c>
      <c r="E121" s="1064">
        <v>0.13</v>
      </c>
      <c r="F121" s="1065">
        <v>0.13</v>
      </c>
    </row>
    <row r="122" spans="1:6" ht="14.5" thickBot="1">
      <c r="A122" s="840" t="s">
        <v>56</v>
      </c>
      <c r="B122" s="834" t="s">
        <v>315</v>
      </c>
      <c r="C122" s="1064">
        <v>0.13</v>
      </c>
      <c r="D122" s="1064">
        <v>0.13</v>
      </c>
      <c r="E122" s="1064">
        <v>0.125</v>
      </c>
      <c r="F122" s="1065">
        <v>0.13</v>
      </c>
    </row>
    <row r="123" spans="1:6" ht="14.5" thickBot="1">
      <c r="A123" s="840" t="s">
        <v>56</v>
      </c>
      <c r="B123" s="834" t="s">
        <v>326</v>
      </c>
      <c r="C123" s="1064">
        <v>0.129</v>
      </c>
      <c r="D123" s="1064">
        <v>0.129</v>
      </c>
      <c r="E123" s="1064">
        <v>0.123</v>
      </c>
      <c r="F123" s="1065">
        <v>0.13</v>
      </c>
    </row>
    <row r="124" spans="1:6" ht="14.5" thickBot="1">
      <c r="A124" s="840" t="s">
        <v>56</v>
      </c>
      <c r="B124" s="834" t="s">
        <v>337</v>
      </c>
      <c r="C124" s="1064">
        <v>0.10199999999999999</v>
      </c>
      <c r="D124" s="1064">
        <v>0.10100000000000001</v>
      </c>
      <c r="E124" s="1064">
        <v>0.08</v>
      </c>
      <c r="F124" s="1076"/>
    </row>
    <row r="125" spans="1:6" ht="14.5" thickBot="1">
      <c r="A125" s="840" t="s">
        <v>56</v>
      </c>
      <c r="B125" s="834" t="s">
        <v>347</v>
      </c>
      <c r="C125" s="1064">
        <v>0.13</v>
      </c>
      <c r="D125" s="1064">
        <v>0.13</v>
      </c>
      <c r="E125" s="1064">
        <v>0.129</v>
      </c>
      <c r="F125" s="1076"/>
    </row>
    <row r="126" spans="1:6" ht="14.5" thickBot="1">
      <c r="A126" s="840" t="s">
        <v>56</v>
      </c>
      <c r="B126" s="834" t="s">
        <v>357</v>
      </c>
      <c r="C126" s="1064">
        <v>0.13</v>
      </c>
      <c r="D126" s="1064">
        <v>0.13</v>
      </c>
      <c r="E126" s="1064">
        <v>0.126</v>
      </c>
      <c r="F126" s="1076"/>
    </row>
    <row r="127" spans="1:6" ht="14.5" thickBot="1">
      <c r="A127" s="840" t="s">
        <v>56</v>
      </c>
      <c r="B127" s="834" t="s">
        <v>367</v>
      </c>
      <c r="C127" s="1064">
        <v>0.125</v>
      </c>
      <c r="D127" s="1064">
        <v>0.125</v>
      </c>
      <c r="E127" s="1064">
        <v>0.121</v>
      </c>
      <c r="F127" s="1076"/>
    </row>
    <row r="128" spans="1:6" ht="14.5" thickBot="1">
      <c r="A128" s="840" t="s">
        <v>56</v>
      </c>
      <c r="B128" s="834" t="s">
        <v>377</v>
      </c>
      <c r="C128" s="1064">
        <v>0.12</v>
      </c>
      <c r="D128" s="1064">
        <v>0.12</v>
      </c>
      <c r="E128" s="1064">
        <v>0.105</v>
      </c>
      <c r="F128" s="1076"/>
    </row>
    <row r="129" spans="1:6" ht="14.5" thickBot="1">
      <c r="A129" s="840" t="s">
        <v>56</v>
      </c>
      <c r="B129" s="834" t="s">
        <v>386</v>
      </c>
      <c r="C129" s="1064">
        <v>0.13</v>
      </c>
      <c r="D129" s="1064">
        <v>0.13</v>
      </c>
      <c r="E129" s="1064">
        <v>0.126</v>
      </c>
      <c r="F129" s="1076"/>
    </row>
    <row r="130" spans="1:6" ht="14.5" thickBot="1">
      <c r="A130" s="840" t="s">
        <v>56</v>
      </c>
      <c r="B130" s="834" t="s">
        <v>395</v>
      </c>
      <c r="C130" s="1064">
        <v>0.125</v>
      </c>
      <c r="D130" s="1064">
        <v>0.125</v>
      </c>
      <c r="E130" s="1064">
        <v>0.122</v>
      </c>
      <c r="F130" s="1076"/>
    </row>
    <row r="131" spans="1:6" ht="14.5" thickBot="1">
      <c r="A131" s="840" t="s">
        <v>56</v>
      </c>
      <c r="B131" s="834" t="s">
        <v>403</v>
      </c>
      <c r="C131" s="1064">
        <v>0.127</v>
      </c>
      <c r="D131" s="1064">
        <v>0.126</v>
      </c>
      <c r="E131" s="1064">
        <v>0.123</v>
      </c>
      <c r="F131" s="1076"/>
    </row>
    <row r="132" spans="1:6" ht="14.5" thickBot="1">
      <c r="A132" s="840" t="s">
        <v>56</v>
      </c>
      <c r="B132" s="834" t="s">
        <v>410</v>
      </c>
      <c r="C132" s="1064">
        <v>9.0999999999999998E-2</v>
      </c>
      <c r="D132" s="1064">
        <v>0.121</v>
      </c>
      <c r="E132" s="1064">
        <v>9.9000000000000005E-2</v>
      </c>
      <c r="F132" s="1076"/>
    </row>
    <row r="133" spans="1:6" ht="14.5" thickBot="1">
      <c r="A133" s="840" t="s">
        <v>56</v>
      </c>
      <c r="B133" s="834" t="s">
        <v>417</v>
      </c>
      <c r="C133" s="1064">
        <v>0.13</v>
      </c>
      <c r="D133" s="1064">
        <v>0.13</v>
      </c>
      <c r="E133" s="1064">
        <v>0.129</v>
      </c>
      <c r="F133" s="1076"/>
    </row>
    <row r="134" spans="1:6" ht="14.5" thickBot="1">
      <c r="A134" s="840" t="s">
        <v>56</v>
      </c>
      <c r="B134" s="834" t="s">
        <v>895</v>
      </c>
      <c r="C134" s="1064">
        <v>6.8000000000000005E-2</v>
      </c>
      <c r="D134" s="1064">
        <v>6.5000000000000002E-2</v>
      </c>
      <c r="E134" s="1064">
        <v>6.5000000000000002E-2</v>
      </c>
      <c r="F134" s="1065">
        <v>0.13</v>
      </c>
    </row>
    <row r="135" spans="1:6" ht="14.5" thickBot="1">
      <c r="A135" s="840" t="s">
        <v>56</v>
      </c>
      <c r="B135" s="834" t="s">
        <v>431</v>
      </c>
      <c r="C135" s="1064">
        <v>0.123</v>
      </c>
      <c r="D135" s="1064">
        <v>0.123</v>
      </c>
      <c r="E135" s="1064">
        <v>0.11</v>
      </c>
      <c r="F135" s="1076"/>
    </row>
    <row r="136" spans="1:6" ht="14.5" thickBot="1">
      <c r="A136" s="840" t="s">
        <v>56</v>
      </c>
      <c r="B136" s="834" t="s">
        <v>438</v>
      </c>
      <c r="C136" s="1064">
        <v>0.13</v>
      </c>
      <c r="D136" s="1064">
        <v>0.13</v>
      </c>
      <c r="E136" s="1064">
        <v>0.125</v>
      </c>
      <c r="F136" s="1076"/>
    </row>
    <row r="137" spans="1:6" ht="14.5" thickBot="1">
      <c r="A137" s="840" t="s">
        <v>56</v>
      </c>
      <c r="B137" s="834" t="s">
        <v>445</v>
      </c>
      <c r="C137" s="1064">
        <v>0.121</v>
      </c>
      <c r="D137" s="1064">
        <v>0.122</v>
      </c>
      <c r="E137" s="1064">
        <v>0.115</v>
      </c>
      <c r="F137" s="1076"/>
    </row>
    <row r="138" spans="1:6" ht="14.5" thickBot="1">
      <c r="A138" s="840" t="s">
        <v>56</v>
      </c>
      <c r="B138" s="834" t="s">
        <v>896</v>
      </c>
      <c r="C138" s="1064">
        <v>0.105</v>
      </c>
      <c r="D138" s="1064">
        <v>0.125</v>
      </c>
      <c r="E138" s="1064">
        <v>0.112</v>
      </c>
      <c r="F138" s="1076"/>
    </row>
    <row r="139" spans="1:6" ht="14.5" thickBot="1">
      <c r="A139" s="840" t="s">
        <v>56</v>
      </c>
      <c r="B139" s="834" t="s">
        <v>897</v>
      </c>
      <c r="C139" s="1064">
        <v>0.127</v>
      </c>
      <c r="D139" s="1064">
        <v>0.127</v>
      </c>
      <c r="E139" s="1064">
        <v>0.122</v>
      </c>
      <c r="F139" s="1065">
        <v>0.13</v>
      </c>
    </row>
    <row r="140" spans="1:6" ht="14.5" thickBot="1">
      <c r="A140" s="840" t="s">
        <v>56</v>
      </c>
      <c r="B140" s="834" t="s">
        <v>898</v>
      </c>
      <c r="C140" s="1064">
        <v>0.125</v>
      </c>
      <c r="D140" s="1064">
        <v>0.125</v>
      </c>
      <c r="E140" s="1064">
        <v>0.11899999999999999</v>
      </c>
      <c r="F140" s="1065">
        <v>0.13</v>
      </c>
    </row>
    <row r="141" spans="1:6" ht="14.5" thickBot="1">
      <c r="A141" s="840" t="s">
        <v>56</v>
      </c>
      <c r="B141" s="834" t="s">
        <v>464</v>
      </c>
      <c r="C141" s="1064">
        <v>0.125</v>
      </c>
      <c r="D141" s="1064">
        <v>0.125</v>
      </c>
      <c r="E141" s="1064">
        <v>0.11700000000000001</v>
      </c>
      <c r="F141" s="1076"/>
    </row>
    <row r="142" spans="1:6" ht="14.5" thickBot="1">
      <c r="A142" s="840" t="s">
        <v>56</v>
      </c>
      <c r="B142" s="834" t="s">
        <v>469</v>
      </c>
      <c r="C142" s="1064">
        <v>0.125</v>
      </c>
      <c r="D142" s="1064">
        <v>0.125</v>
      </c>
      <c r="E142" s="1064">
        <v>0.115</v>
      </c>
      <c r="F142" s="1076"/>
    </row>
    <row r="143" spans="1:6" ht="14.5" thickBot="1">
      <c r="A143" s="840" t="s">
        <v>56</v>
      </c>
      <c r="B143" s="834" t="s">
        <v>474</v>
      </c>
      <c r="C143" s="1064">
        <v>0.121</v>
      </c>
      <c r="D143" s="1064">
        <v>0.121</v>
      </c>
      <c r="E143" s="1064">
        <v>0.108</v>
      </c>
      <c r="F143" s="1076"/>
    </row>
    <row r="144" spans="1:6" ht="14.5" thickBot="1">
      <c r="A144" s="840" t="s">
        <v>56</v>
      </c>
      <c r="B144" s="1068" t="s">
        <v>899</v>
      </c>
      <c r="C144" s="1069">
        <v>0.126</v>
      </c>
      <c r="D144" s="1069">
        <v>0.126</v>
      </c>
      <c r="E144" s="1069">
        <v>0.121</v>
      </c>
      <c r="F144" s="1076"/>
    </row>
    <row r="145" spans="1:6" ht="14.5" thickBot="1">
      <c r="A145" s="850" t="s">
        <v>56</v>
      </c>
      <c r="B145" s="1070" t="s">
        <v>900</v>
      </c>
      <c r="C145" s="1078"/>
      <c r="D145" s="1078"/>
      <c r="E145" s="1078"/>
      <c r="F145" s="1071">
        <v>0.05</v>
      </c>
    </row>
    <row r="146" spans="1:6" ht="26.5" thickBot="1">
      <c r="A146" s="1072" t="s">
        <v>56</v>
      </c>
      <c r="B146" s="844" t="s">
        <v>901</v>
      </c>
      <c r="C146" s="1077"/>
      <c r="D146" s="1077"/>
      <c r="E146" s="1077"/>
      <c r="F146" s="1073">
        <v>0.05</v>
      </c>
    </row>
    <row r="147" spans="1:6" ht="26.5" thickBot="1">
      <c r="A147" s="840" t="s">
        <v>56</v>
      </c>
      <c r="B147" s="834" t="s">
        <v>902</v>
      </c>
      <c r="C147" s="1077"/>
      <c r="D147" s="1077"/>
      <c r="E147" s="1077"/>
      <c r="F147" s="1065">
        <v>0.05</v>
      </c>
    </row>
    <row r="148" spans="1:6" ht="26.5" thickBot="1">
      <c r="A148" s="840" t="s">
        <v>56</v>
      </c>
      <c r="B148" s="834" t="s">
        <v>903</v>
      </c>
      <c r="C148" s="1077"/>
      <c r="D148" s="1077"/>
      <c r="E148" s="1077"/>
      <c r="F148" s="1065">
        <v>0.05</v>
      </c>
    </row>
    <row r="149" spans="1:6" ht="26.5" thickBot="1">
      <c r="A149" s="840" t="s">
        <v>56</v>
      </c>
      <c r="B149" s="834" t="s">
        <v>904</v>
      </c>
      <c r="C149" s="1077"/>
      <c r="D149" s="1077"/>
      <c r="E149" s="1077"/>
      <c r="F149" s="1065">
        <v>0.05</v>
      </c>
    </row>
    <row r="150" spans="1:6" ht="26.5" thickBot="1">
      <c r="A150" s="840" t="s">
        <v>56</v>
      </c>
      <c r="B150" s="834" t="s">
        <v>905</v>
      </c>
      <c r="C150" s="1077"/>
      <c r="D150" s="1077"/>
      <c r="E150" s="1077"/>
      <c r="F150" s="1065">
        <v>0.05</v>
      </c>
    </row>
    <row r="151" spans="1:6" ht="26.5" thickBot="1">
      <c r="A151" s="840" t="s">
        <v>56</v>
      </c>
      <c r="B151" s="834" t="s">
        <v>906</v>
      </c>
      <c r="C151" s="1077"/>
      <c r="D151" s="1077"/>
      <c r="E151" s="1077"/>
      <c r="F151" s="1065">
        <v>0.05</v>
      </c>
    </row>
    <row r="152" spans="1:6" ht="26.5" thickBot="1">
      <c r="A152" s="840" t="s">
        <v>56</v>
      </c>
      <c r="B152" s="834" t="s">
        <v>507</v>
      </c>
      <c r="C152" s="1077"/>
      <c r="D152" s="1077"/>
      <c r="E152" s="1077"/>
      <c r="F152" s="1065">
        <v>0.05</v>
      </c>
    </row>
    <row r="153" spans="1:6" ht="14.5" thickBot="1">
      <c r="A153" s="840" t="s">
        <v>56</v>
      </c>
      <c r="B153" s="834" t="s">
        <v>907</v>
      </c>
      <c r="C153" s="1077"/>
      <c r="D153" s="1077"/>
      <c r="E153" s="1077"/>
      <c r="F153" s="1065">
        <v>0.05</v>
      </c>
    </row>
    <row r="154" spans="1:6" ht="14.5" thickBot="1">
      <c r="A154" s="840" t="s">
        <v>56</v>
      </c>
      <c r="B154" s="834" t="s">
        <v>908</v>
      </c>
      <c r="C154" s="1077"/>
      <c r="D154" s="1077"/>
      <c r="E154" s="1077"/>
      <c r="F154" s="1065">
        <v>0.05</v>
      </c>
    </row>
    <row r="155" spans="1:6" ht="26.5" thickBot="1">
      <c r="A155" s="840" t="s">
        <v>56</v>
      </c>
      <c r="B155" s="834" t="s">
        <v>909</v>
      </c>
      <c r="C155" s="1077"/>
      <c r="D155" s="1077"/>
      <c r="E155" s="1077"/>
      <c r="F155" s="1065">
        <v>0.05</v>
      </c>
    </row>
    <row r="156" spans="1:6" ht="26.5" thickBot="1">
      <c r="A156" s="840" t="s">
        <v>56</v>
      </c>
      <c r="B156" s="834" t="s">
        <v>910</v>
      </c>
      <c r="C156" s="1077"/>
      <c r="D156" s="1077"/>
      <c r="E156" s="1077"/>
      <c r="F156" s="1065">
        <v>0.05</v>
      </c>
    </row>
    <row r="157" spans="1:6" ht="14.5" thickBot="1">
      <c r="A157" s="850" t="s">
        <v>56</v>
      </c>
      <c r="B157" s="846" t="s">
        <v>911</v>
      </c>
      <c r="C157" s="1074"/>
      <c r="D157" s="1074"/>
      <c r="E157" s="1074"/>
      <c r="F157" s="1067">
        <v>0.05</v>
      </c>
    </row>
    <row r="158" spans="1:6" ht="14.5" thickBot="1">
      <c r="A158" s="840" t="s">
        <v>526</v>
      </c>
      <c r="B158" s="841" t="s">
        <v>912</v>
      </c>
      <c r="C158" s="1062">
        <v>0.13</v>
      </c>
      <c r="D158" s="1062">
        <v>0.13</v>
      </c>
      <c r="E158" s="1062">
        <v>0.13</v>
      </c>
      <c r="F158" s="1063">
        <v>0.13</v>
      </c>
    </row>
    <row r="159" spans="1:6" ht="14.5" thickBot="1">
      <c r="A159" s="840" t="s">
        <v>526</v>
      </c>
      <c r="B159" s="834" t="s">
        <v>193</v>
      </c>
      <c r="C159" s="1064">
        <v>0.13</v>
      </c>
      <c r="D159" s="1064">
        <v>0.13</v>
      </c>
      <c r="E159" s="1064">
        <v>0.13</v>
      </c>
      <c r="F159" s="1065">
        <v>0.13</v>
      </c>
    </row>
    <row r="160" spans="1:6" ht="14.5" thickBot="1">
      <c r="A160" s="840" t="s">
        <v>526</v>
      </c>
      <c r="B160" s="834" t="s">
        <v>206</v>
      </c>
      <c r="C160" s="1064">
        <v>0.13</v>
      </c>
      <c r="D160" s="1064">
        <v>0.13</v>
      </c>
      <c r="E160" s="1064">
        <v>0.129</v>
      </c>
      <c r="F160" s="1065">
        <v>0.13</v>
      </c>
    </row>
    <row r="161" spans="1:6" ht="14.5" thickBot="1">
      <c r="A161" s="840" t="s">
        <v>526</v>
      </c>
      <c r="B161" s="834" t="s">
        <v>219</v>
      </c>
      <c r="C161" s="1064">
        <v>0.128</v>
      </c>
      <c r="D161" s="1064">
        <v>0.128</v>
      </c>
      <c r="E161" s="1064">
        <v>0.125</v>
      </c>
      <c r="F161" s="1065">
        <v>0.13</v>
      </c>
    </row>
    <row r="162" spans="1:6" ht="14.5" thickBot="1">
      <c r="A162" s="840" t="s">
        <v>526</v>
      </c>
      <c r="B162" s="834" t="s">
        <v>231</v>
      </c>
      <c r="C162" s="1064">
        <v>0.122</v>
      </c>
      <c r="D162" s="1064">
        <v>0.122</v>
      </c>
      <c r="E162" s="1064">
        <v>0.126</v>
      </c>
      <c r="F162" s="1065">
        <v>0.122</v>
      </c>
    </row>
    <row r="163" spans="1:6" ht="14.5" thickBot="1">
      <c r="A163" s="840" t="s">
        <v>526</v>
      </c>
      <c r="B163" s="834" t="s">
        <v>242</v>
      </c>
      <c r="C163" s="1064">
        <v>0.13</v>
      </c>
      <c r="D163" s="1064">
        <v>0.13</v>
      </c>
      <c r="E163" s="1064">
        <v>0.125</v>
      </c>
      <c r="F163" s="1065">
        <v>0.13</v>
      </c>
    </row>
    <row r="164" spans="1:6" ht="14.5" thickBot="1">
      <c r="A164" s="840" t="s">
        <v>526</v>
      </c>
      <c r="B164" s="834" t="s">
        <v>253</v>
      </c>
      <c r="C164" s="1064">
        <v>0.13</v>
      </c>
      <c r="D164" s="1064">
        <v>0.13</v>
      </c>
      <c r="E164" s="1064">
        <v>0.13</v>
      </c>
      <c r="F164" s="1065">
        <v>0.13</v>
      </c>
    </row>
    <row r="165" spans="1:6" ht="14.5" thickBot="1">
      <c r="A165" s="840" t="s">
        <v>526</v>
      </c>
      <c r="B165" s="834" t="s">
        <v>264</v>
      </c>
      <c r="C165" s="1064">
        <v>0.13</v>
      </c>
      <c r="D165" s="1064">
        <v>0.13</v>
      </c>
      <c r="E165" s="1064">
        <v>0.124</v>
      </c>
      <c r="F165" s="1065">
        <v>0.13</v>
      </c>
    </row>
    <row r="166" spans="1:6" ht="14.5" thickBot="1">
      <c r="A166" s="840" t="s">
        <v>526</v>
      </c>
      <c r="B166" s="834" t="s">
        <v>276</v>
      </c>
      <c r="C166" s="1064">
        <v>0.13</v>
      </c>
      <c r="D166" s="1064">
        <v>0.13</v>
      </c>
      <c r="E166" s="1064">
        <v>0.13</v>
      </c>
      <c r="F166" s="1065">
        <v>0.13</v>
      </c>
    </row>
    <row r="167" spans="1:6" ht="14.5" thickBot="1">
      <c r="A167" s="840" t="s">
        <v>526</v>
      </c>
      <c r="B167" s="834" t="s">
        <v>286</v>
      </c>
      <c r="C167" s="1064">
        <v>0.125</v>
      </c>
      <c r="D167" s="1064">
        <v>0.125</v>
      </c>
      <c r="E167" s="1064">
        <v>0.121</v>
      </c>
      <c r="F167" s="1076"/>
    </row>
    <row r="168" spans="1:6" ht="14.5" thickBot="1">
      <c r="A168" s="840" t="s">
        <v>526</v>
      </c>
      <c r="B168" s="834" t="s">
        <v>296</v>
      </c>
      <c r="C168" s="1064">
        <v>0.13</v>
      </c>
      <c r="D168" s="1064">
        <v>0.13</v>
      </c>
      <c r="E168" s="1064">
        <v>0.126</v>
      </c>
      <c r="F168" s="1076"/>
    </row>
    <row r="169" spans="1:6" ht="14.5" thickBot="1">
      <c r="A169" s="840" t="s">
        <v>526</v>
      </c>
      <c r="B169" s="834" t="s">
        <v>306</v>
      </c>
      <c r="C169" s="1064">
        <v>0.128</v>
      </c>
      <c r="D169" s="1064">
        <v>0.129</v>
      </c>
      <c r="E169" s="1064">
        <v>0.13</v>
      </c>
      <c r="F169" s="1076"/>
    </row>
    <row r="170" spans="1:6" ht="14.5" thickBot="1">
      <c r="A170" s="840" t="s">
        <v>526</v>
      </c>
      <c r="B170" s="834" t="s">
        <v>316</v>
      </c>
      <c r="C170" s="1064">
        <v>0.14099999999999999</v>
      </c>
      <c r="D170" s="1064">
        <v>0.13</v>
      </c>
      <c r="E170" s="1064">
        <v>0.125</v>
      </c>
      <c r="F170" s="1076"/>
    </row>
    <row r="171" spans="1:6" ht="14.5" thickBot="1">
      <c r="A171" s="840" t="s">
        <v>526</v>
      </c>
      <c r="B171" s="834" t="s">
        <v>913</v>
      </c>
      <c r="C171" s="1064">
        <v>0.127</v>
      </c>
      <c r="D171" s="1064">
        <v>0.126</v>
      </c>
      <c r="E171" s="1064">
        <v>0.126</v>
      </c>
      <c r="F171" s="1065">
        <v>0.11799999999999999</v>
      </c>
    </row>
    <row r="172" spans="1:6" ht="14.5" thickBot="1">
      <c r="A172" s="840" t="s">
        <v>526</v>
      </c>
      <c r="B172" s="834" t="s">
        <v>914</v>
      </c>
      <c r="C172" s="1064">
        <v>0.13</v>
      </c>
      <c r="D172" s="1064">
        <v>0.13</v>
      </c>
      <c r="E172" s="1064">
        <v>0.13</v>
      </c>
      <c r="F172" s="1076"/>
    </row>
    <row r="173" spans="1:6" ht="14.5" thickBot="1">
      <c r="A173" s="840" t="s">
        <v>526</v>
      </c>
      <c r="B173" s="834" t="s">
        <v>348</v>
      </c>
      <c r="C173" s="1064">
        <v>0.13</v>
      </c>
      <c r="D173" s="1064">
        <v>0.13</v>
      </c>
      <c r="E173" s="1064">
        <v>0.13</v>
      </c>
      <c r="F173" s="1076"/>
    </row>
    <row r="174" spans="1:6" ht="14.5" thickBot="1">
      <c r="A174" s="840" t="s">
        <v>526</v>
      </c>
      <c r="B174" s="834" t="s">
        <v>915</v>
      </c>
      <c r="C174" s="1064">
        <v>0.13</v>
      </c>
      <c r="D174" s="1064">
        <v>0.13</v>
      </c>
      <c r="E174" s="1064">
        <v>0.13</v>
      </c>
      <c r="F174" s="1065">
        <v>0.13</v>
      </c>
    </row>
    <row r="175" spans="1:6" ht="14.5" thickBot="1">
      <c r="A175" s="840" t="s">
        <v>526</v>
      </c>
      <c r="B175" s="834" t="s">
        <v>916</v>
      </c>
      <c r="C175" s="1064">
        <v>0.13</v>
      </c>
      <c r="D175" s="1064">
        <v>0.13</v>
      </c>
      <c r="E175" s="1064">
        <v>0.13</v>
      </c>
      <c r="F175" s="1065">
        <v>0.13</v>
      </c>
    </row>
    <row r="176" spans="1:6" ht="14.5" thickBot="1">
      <c r="A176" s="840" t="s">
        <v>526</v>
      </c>
      <c r="B176" s="834" t="s">
        <v>378</v>
      </c>
      <c r="C176" s="1064">
        <v>0.13</v>
      </c>
      <c r="D176" s="1064">
        <v>0.13</v>
      </c>
      <c r="E176" s="1064">
        <v>0.13</v>
      </c>
      <c r="F176" s="1065">
        <v>0.13</v>
      </c>
    </row>
    <row r="177" spans="1:6" ht="14.5" thickBot="1">
      <c r="A177" s="840" t="s">
        <v>526</v>
      </c>
      <c r="B177" s="834" t="s">
        <v>917</v>
      </c>
      <c r="C177" s="1064">
        <v>0.13</v>
      </c>
      <c r="D177" s="1064">
        <v>0.13</v>
      </c>
      <c r="E177" s="1064">
        <v>0.13</v>
      </c>
      <c r="F177" s="1065">
        <v>0.13</v>
      </c>
    </row>
    <row r="178" spans="1:6" ht="14.5" thickBot="1">
      <c r="A178" s="840" t="s">
        <v>526</v>
      </c>
      <c r="B178" s="834" t="s">
        <v>396</v>
      </c>
      <c r="C178" s="1064">
        <v>0.13</v>
      </c>
      <c r="D178" s="1064">
        <v>0.13</v>
      </c>
      <c r="E178" s="1064">
        <v>0.13</v>
      </c>
      <c r="F178" s="1065">
        <v>0.127</v>
      </c>
    </row>
    <row r="179" spans="1:6" ht="14.5" thickBot="1">
      <c r="A179" s="840" t="s">
        <v>526</v>
      </c>
      <c r="B179" s="834" t="s">
        <v>404</v>
      </c>
      <c r="C179" s="1064">
        <v>0.13</v>
      </c>
      <c r="D179" s="1064">
        <v>0.13</v>
      </c>
      <c r="E179" s="1064">
        <v>0.13</v>
      </c>
      <c r="F179" s="1076"/>
    </row>
    <row r="180" spans="1:6" ht="14.5" thickBot="1">
      <c r="A180" s="840" t="s">
        <v>526</v>
      </c>
      <c r="B180" s="834" t="s">
        <v>918</v>
      </c>
      <c r="C180" s="1064">
        <v>0.13</v>
      </c>
      <c r="D180" s="1064">
        <v>0.13</v>
      </c>
      <c r="E180" s="1064">
        <v>0.125</v>
      </c>
      <c r="F180" s="1065">
        <v>0.13</v>
      </c>
    </row>
    <row r="181" spans="1:6" ht="14.5" thickBot="1">
      <c r="A181" s="840" t="s">
        <v>526</v>
      </c>
      <c r="B181" s="834" t="s">
        <v>418</v>
      </c>
      <c r="C181" s="1064">
        <v>0.122</v>
      </c>
      <c r="D181" s="1064">
        <v>0.123</v>
      </c>
      <c r="E181" s="1064">
        <v>0.126</v>
      </c>
      <c r="F181" s="1065">
        <v>0.121</v>
      </c>
    </row>
    <row r="182" spans="1:6" ht="14.5" thickBot="1">
      <c r="A182" s="840" t="s">
        <v>526</v>
      </c>
      <c r="B182" s="834" t="s">
        <v>425</v>
      </c>
      <c r="C182" s="1064">
        <v>0.125</v>
      </c>
      <c r="D182" s="1064">
        <v>0.125</v>
      </c>
      <c r="E182" s="1064">
        <v>0.11700000000000001</v>
      </c>
      <c r="F182" s="1065">
        <v>0.13</v>
      </c>
    </row>
    <row r="183" spans="1:6" ht="14.5" thickBot="1">
      <c r="A183" s="840" t="s">
        <v>526</v>
      </c>
      <c r="B183" s="834" t="s">
        <v>432</v>
      </c>
      <c r="C183" s="1064">
        <v>0.127</v>
      </c>
      <c r="D183" s="1064">
        <v>0.127</v>
      </c>
      <c r="E183" s="1064">
        <v>0.128</v>
      </c>
      <c r="F183" s="1076"/>
    </row>
    <row r="184" spans="1:6" ht="14.5" thickBot="1">
      <c r="A184" s="840" t="s">
        <v>526</v>
      </c>
      <c r="B184" s="834" t="s">
        <v>439</v>
      </c>
      <c r="C184" s="1064">
        <v>0.125</v>
      </c>
      <c r="D184" s="1064">
        <v>0.125</v>
      </c>
      <c r="E184" s="1064">
        <v>0.127</v>
      </c>
      <c r="F184" s="1076"/>
    </row>
    <row r="185" spans="1:6" ht="14.5" thickBot="1">
      <c r="A185" s="840" t="s">
        <v>526</v>
      </c>
      <c r="B185" s="834" t="s">
        <v>919</v>
      </c>
      <c r="C185" s="1064">
        <v>0.127</v>
      </c>
      <c r="D185" s="1064">
        <v>0.127</v>
      </c>
      <c r="E185" s="1064">
        <v>0.128</v>
      </c>
      <c r="F185" s="1065">
        <v>0.13</v>
      </c>
    </row>
    <row r="186" spans="1:6" ht="26.5" thickBot="1">
      <c r="A186" s="840" t="s">
        <v>526</v>
      </c>
      <c r="B186" s="834" t="s">
        <v>920</v>
      </c>
      <c r="C186" s="1077"/>
      <c r="D186" s="1077"/>
      <c r="E186" s="1077"/>
      <c r="F186" s="1065">
        <v>0.05</v>
      </c>
    </row>
    <row r="187" spans="1:6" ht="14.5" thickBot="1">
      <c r="A187" s="840" t="s">
        <v>526</v>
      </c>
      <c r="B187" s="834" t="s">
        <v>921</v>
      </c>
      <c r="C187" s="1077"/>
      <c r="D187" s="1077"/>
      <c r="E187" s="1077"/>
      <c r="F187" s="1065">
        <v>0.05</v>
      </c>
    </row>
    <row r="188" spans="1:6" ht="26.5" thickBot="1">
      <c r="A188" s="840" t="s">
        <v>526</v>
      </c>
      <c r="B188" s="834" t="s">
        <v>922</v>
      </c>
      <c r="C188" s="1077"/>
      <c r="D188" s="1077"/>
      <c r="E188" s="1077"/>
      <c r="F188" s="1065">
        <v>0.05</v>
      </c>
    </row>
    <row r="189" spans="1:6" ht="26.5" thickBot="1">
      <c r="A189" s="840" t="s">
        <v>526</v>
      </c>
      <c r="B189" s="834" t="s">
        <v>923</v>
      </c>
      <c r="C189" s="1077"/>
      <c r="D189" s="1077"/>
      <c r="E189" s="1077"/>
      <c r="F189" s="1065">
        <v>0.05</v>
      </c>
    </row>
    <row r="190" spans="1:6" ht="26.5" thickBot="1">
      <c r="A190" s="840" t="s">
        <v>526</v>
      </c>
      <c r="B190" s="834" t="s">
        <v>924</v>
      </c>
      <c r="C190" s="1077"/>
      <c r="D190" s="1077"/>
      <c r="E190" s="1077"/>
      <c r="F190" s="1065">
        <v>0.05</v>
      </c>
    </row>
    <row r="191" spans="1:6" ht="26.5" thickBot="1">
      <c r="A191" s="840" t="s">
        <v>526</v>
      </c>
      <c r="B191" s="834" t="s">
        <v>925</v>
      </c>
      <c r="C191" s="1077"/>
      <c r="D191" s="1077"/>
      <c r="E191" s="1077"/>
      <c r="F191" s="1065">
        <v>0.05</v>
      </c>
    </row>
    <row r="192" spans="1:6" ht="26.5" thickBot="1">
      <c r="A192" s="840" t="s">
        <v>526</v>
      </c>
      <c r="B192" s="834" t="s">
        <v>926</v>
      </c>
      <c r="C192" s="1077"/>
      <c r="D192" s="1077"/>
      <c r="E192" s="1077"/>
      <c r="F192" s="1065">
        <v>0.05</v>
      </c>
    </row>
    <row r="193" spans="1:6" ht="26.5" thickBot="1">
      <c r="A193" s="840" t="s">
        <v>526</v>
      </c>
      <c r="B193" s="834" t="s">
        <v>927</v>
      </c>
      <c r="C193" s="1077"/>
      <c r="D193" s="1077"/>
      <c r="E193" s="1077"/>
      <c r="F193" s="1065">
        <v>0.05</v>
      </c>
    </row>
    <row r="194" spans="1:6" ht="26.5" thickBot="1">
      <c r="A194" s="840" t="s">
        <v>526</v>
      </c>
      <c r="B194" s="834" t="s">
        <v>928</v>
      </c>
      <c r="C194" s="1077"/>
      <c r="D194" s="1077"/>
      <c r="E194" s="1077"/>
      <c r="F194" s="1065">
        <v>0.05</v>
      </c>
    </row>
    <row r="195" spans="1:6" ht="14.5" thickBot="1">
      <c r="A195" s="840" t="s">
        <v>526</v>
      </c>
      <c r="B195" s="834" t="s">
        <v>929</v>
      </c>
      <c r="C195" s="1077"/>
      <c r="D195" s="1077"/>
      <c r="E195" s="1077"/>
      <c r="F195" s="1065">
        <v>0.05</v>
      </c>
    </row>
    <row r="196" spans="1:6" ht="26.5" thickBot="1">
      <c r="A196" s="840" t="s">
        <v>526</v>
      </c>
      <c r="B196" s="834" t="s">
        <v>930</v>
      </c>
      <c r="C196" s="1077"/>
      <c r="D196" s="1077"/>
      <c r="E196" s="1077"/>
      <c r="F196" s="1065">
        <v>0.05</v>
      </c>
    </row>
    <row r="197" spans="1:6" ht="26.5" thickBot="1">
      <c r="A197" s="840" t="s">
        <v>526</v>
      </c>
      <c r="B197" s="834" t="s">
        <v>931</v>
      </c>
      <c r="C197" s="1077"/>
      <c r="D197" s="1077"/>
      <c r="E197" s="1077"/>
      <c r="F197" s="1065">
        <v>0.05</v>
      </c>
    </row>
    <row r="198" spans="1:6" ht="26.5" thickBot="1">
      <c r="A198" s="840" t="s">
        <v>526</v>
      </c>
      <c r="B198" s="834" t="s">
        <v>932</v>
      </c>
      <c r="C198" s="1077"/>
      <c r="D198" s="1077"/>
      <c r="E198" s="1077"/>
      <c r="F198" s="1065">
        <v>0.05</v>
      </c>
    </row>
    <row r="199" spans="1:6" ht="26.5" thickBot="1">
      <c r="A199" s="840" t="s">
        <v>526</v>
      </c>
      <c r="B199" s="834" t="s">
        <v>933</v>
      </c>
      <c r="C199" s="1077"/>
      <c r="D199" s="1077"/>
      <c r="E199" s="1077"/>
      <c r="F199" s="1065">
        <v>0.05</v>
      </c>
    </row>
    <row r="200" spans="1:6" ht="26.5" thickBot="1">
      <c r="A200" s="840" t="s">
        <v>526</v>
      </c>
      <c r="B200" s="834" t="s">
        <v>934</v>
      </c>
      <c r="C200" s="1077"/>
      <c r="D200" s="1077"/>
      <c r="E200" s="1077"/>
      <c r="F200" s="1065">
        <v>0.05</v>
      </c>
    </row>
    <row r="201" spans="1:6" ht="26.5" thickBot="1">
      <c r="A201" s="840" t="s">
        <v>526</v>
      </c>
      <c r="B201" s="834" t="s">
        <v>935</v>
      </c>
      <c r="C201" s="1077"/>
      <c r="D201" s="1077"/>
      <c r="E201" s="1077"/>
      <c r="F201" s="1065">
        <v>0.05</v>
      </c>
    </row>
    <row r="202" spans="1:6" ht="26.5" thickBot="1">
      <c r="A202" s="840" t="s">
        <v>526</v>
      </c>
      <c r="B202" s="834" t="s">
        <v>936</v>
      </c>
      <c r="C202" s="1077"/>
      <c r="D202" s="1077"/>
      <c r="E202" s="1077"/>
      <c r="F202" s="1065">
        <v>0.05</v>
      </c>
    </row>
    <row r="203" spans="1:6" ht="26.5" thickBot="1">
      <c r="A203" s="840" t="s">
        <v>526</v>
      </c>
      <c r="B203" s="834" t="s">
        <v>937</v>
      </c>
      <c r="C203" s="1077"/>
      <c r="D203" s="1077"/>
      <c r="E203" s="1077"/>
      <c r="F203" s="1065">
        <v>0.05</v>
      </c>
    </row>
    <row r="204" spans="1:6" ht="14.5" thickBot="1">
      <c r="A204" s="840" t="s">
        <v>526</v>
      </c>
      <c r="B204" s="834" t="s">
        <v>938</v>
      </c>
      <c r="C204" s="1077"/>
      <c r="D204" s="1077"/>
      <c r="E204" s="1077"/>
      <c r="F204" s="1065">
        <v>0.05</v>
      </c>
    </row>
    <row r="205" spans="1:6" ht="14.5" thickBot="1">
      <c r="A205" s="850" t="s">
        <v>526</v>
      </c>
      <c r="B205" s="846" t="s">
        <v>939</v>
      </c>
      <c r="C205" s="1074"/>
      <c r="D205" s="1074"/>
      <c r="E205" s="1074"/>
      <c r="F205" s="1067">
        <v>0.05</v>
      </c>
    </row>
    <row r="206" spans="1:6" ht="14.5" thickBot="1">
      <c r="A206" s="840" t="s">
        <v>528</v>
      </c>
      <c r="B206" s="841" t="s">
        <v>940</v>
      </c>
      <c r="C206" s="1062">
        <v>0.15</v>
      </c>
      <c r="D206" s="1062">
        <v>0.15</v>
      </c>
      <c r="E206" s="1062">
        <v>0.15</v>
      </c>
      <c r="F206" s="1063">
        <v>0.15</v>
      </c>
    </row>
    <row r="207" spans="1:6" ht="14.5" thickBot="1">
      <c r="A207" s="840" t="s">
        <v>528</v>
      </c>
      <c r="B207" s="834" t="s">
        <v>194</v>
      </c>
      <c r="C207" s="1064">
        <v>0.15</v>
      </c>
      <c r="D207" s="1064">
        <v>0.15</v>
      </c>
      <c r="E207" s="1064">
        <v>0.15</v>
      </c>
      <c r="F207" s="1065">
        <v>0.14399999999999999</v>
      </c>
    </row>
    <row r="208" spans="1:6" ht="14.5" thickBot="1">
      <c r="A208" s="840" t="s">
        <v>528</v>
      </c>
      <c r="B208" s="834" t="s">
        <v>207</v>
      </c>
      <c r="C208" s="1064">
        <v>0.15</v>
      </c>
      <c r="D208" s="1064">
        <v>0.15</v>
      </c>
      <c r="E208" s="1064">
        <v>0.15</v>
      </c>
      <c r="F208" s="1065">
        <v>0.15</v>
      </c>
    </row>
    <row r="209" spans="1:6" ht="14.5" thickBot="1">
      <c r="A209" s="840" t="s">
        <v>528</v>
      </c>
      <c r="B209" s="834" t="s">
        <v>220</v>
      </c>
      <c r="C209" s="1064">
        <v>0.13700000000000001</v>
      </c>
      <c r="D209" s="1064">
        <v>0.13700000000000001</v>
      </c>
      <c r="E209" s="1064">
        <v>0.14000000000000001</v>
      </c>
      <c r="F209" s="1065">
        <v>0.11700000000000001</v>
      </c>
    </row>
    <row r="210" spans="1:6" ht="14.5" thickBot="1">
      <c r="A210" s="840" t="s">
        <v>528</v>
      </c>
      <c r="B210" s="834" t="s">
        <v>941</v>
      </c>
      <c r="C210" s="1064">
        <v>0.15</v>
      </c>
      <c r="D210" s="1064">
        <v>0.15</v>
      </c>
      <c r="E210" s="1064">
        <v>0.15</v>
      </c>
      <c r="F210" s="1065">
        <v>0.13800000000000001</v>
      </c>
    </row>
    <row r="211" spans="1:6" ht="14.5" thickBot="1">
      <c r="A211" s="840" t="s">
        <v>528</v>
      </c>
      <c r="B211" s="834" t="s">
        <v>942</v>
      </c>
      <c r="C211" s="1064">
        <v>0.13700000000000001</v>
      </c>
      <c r="D211" s="1064">
        <v>0.13500000000000001</v>
      </c>
      <c r="E211" s="1064">
        <v>0.13600000000000001</v>
      </c>
      <c r="F211" s="1065">
        <v>0.1</v>
      </c>
    </row>
    <row r="212" spans="1:6" ht="14.5" thickBot="1">
      <c r="A212" s="840" t="s">
        <v>528</v>
      </c>
      <c r="B212" s="834" t="s">
        <v>943</v>
      </c>
      <c r="C212" s="1064">
        <v>0.15</v>
      </c>
      <c r="D212" s="1064">
        <v>0.15</v>
      </c>
      <c r="E212" s="1064">
        <v>0.14799999999999999</v>
      </c>
      <c r="F212" s="1065">
        <v>0.13600000000000001</v>
      </c>
    </row>
    <row r="213" spans="1:6" ht="14.5" thickBot="1">
      <c r="A213" s="840" t="s">
        <v>528</v>
      </c>
      <c r="B213" s="834" t="s">
        <v>265</v>
      </c>
      <c r="C213" s="1064">
        <v>0.15</v>
      </c>
      <c r="D213" s="1064">
        <v>0.15</v>
      </c>
      <c r="E213" s="1064">
        <v>0.15</v>
      </c>
      <c r="F213" s="1065">
        <v>0.13800000000000001</v>
      </c>
    </row>
    <row r="214" spans="1:6" ht="14.5" thickBot="1">
      <c r="A214" s="840" t="s">
        <v>528</v>
      </c>
      <c r="B214" s="834" t="s">
        <v>277</v>
      </c>
      <c r="C214" s="1064">
        <v>9.0999999999999998E-2</v>
      </c>
      <c r="D214" s="1064">
        <v>0.09</v>
      </c>
      <c r="E214" s="1064">
        <v>9.1999999999999998E-2</v>
      </c>
      <c r="F214" s="1076"/>
    </row>
    <row r="215" spans="1:6" ht="14.5" thickBot="1">
      <c r="A215" s="840" t="s">
        <v>528</v>
      </c>
      <c r="B215" s="834" t="s">
        <v>944</v>
      </c>
      <c r="C215" s="1064">
        <v>0.15</v>
      </c>
      <c r="D215" s="1064">
        <v>0.15</v>
      </c>
      <c r="E215" s="1064">
        <v>0.15</v>
      </c>
      <c r="F215" s="1065">
        <v>0.15</v>
      </c>
    </row>
    <row r="216" spans="1:6" ht="14.5" thickBot="1">
      <c r="A216" s="840" t="s">
        <v>528</v>
      </c>
      <c r="B216" s="834" t="s">
        <v>297</v>
      </c>
      <c r="C216" s="1064">
        <v>0.14699999999999999</v>
      </c>
      <c r="D216" s="1064">
        <v>0.14699999999999999</v>
      </c>
      <c r="E216" s="1064">
        <v>0.15</v>
      </c>
      <c r="F216" s="1065">
        <v>0.14000000000000001</v>
      </c>
    </row>
    <row r="217" spans="1:6" ht="14.5" thickBot="1">
      <c r="A217" s="840" t="s">
        <v>528</v>
      </c>
      <c r="B217" s="834" t="s">
        <v>307</v>
      </c>
      <c r="C217" s="1064">
        <v>0.15</v>
      </c>
      <c r="D217" s="1064">
        <v>0.15</v>
      </c>
      <c r="E217" s="1064">
        <v>0.15</v>
      </c>
      <c r="F217" s="1065">
        <v>0.15</v>
      </c>
    </row>
    <row r="218" spans="1:6" ht="14.5" thickBot="1">
      <c r="A218" s="840" t="s">
        <v>528</v>
      </c>
      <c r="B218" s="834" t="s">
        <v>945</v>
      </c>
      <c r="C218" s="1064">
        <v>0.15</v>
      </c>
      <c r="D218" s="1064">
        <v>0.15</v>
      </c>
      <c r="E218" s="1064">
        <v>0.15</v>
      </c>
      <c r="F218" s="1065">
        <v>0.15</v>
      </c>
    </row>
    <row r="219" spans="1:6" ht="14.5" thickBot="1">
      <c r="A219" s="840" t="s">
        <v>528</v>
      </c>
      <c r="B219" s="834" t="s">
        <v>328</v>
      </c>
      <c r="C219" s="1064">
        <v>0.15</v>
      </c>
      <c r="D219" s="1064">
        <v>0.15</v>
      </c>
      <c r="E219" s="1064">
        <v>0.15</v>
      </c>
      <c r="F219" s="1065">
        <v>0.14799999999999999</v>
      </c>
    </row>
    <row r="220" spans="1:6" ht="14.5" thickBot="1">
      <c r="A220" s="840" t="s">
        <v>528</v>
      </c>
      <c r="B220" s="834" t="s">
        <v>946</v>
      </c>
      <c r="C220" s="1064">
        <v>0.15</v>
      </c>
      <c r="D220" s="1064">
        <v>0.15</v>
      </c>
      <c r="E220" s="1064">
        <v>0.15</v>
      </c>
      <c r="F220" s="1065">
        <v>0.15</v>
      </c>
    </row>
    <row r="221" spans="1:6" ht="14.5" thickBot="1">
      <c r="A221" s="840" t="s">
        <v>528</v>
      </c>
      <c r="B221" s="834" t="s">
        <v>349</v>
      </c>
      <c r="C221" s="1064"/>
      <c r="D221" s="1077"/>
      <c r="E221" s="1077"/>
      <c r="F221" s="1065">
        <v>0.14799999999999999</v>
      </c>
    </row>
    <row r="222" spans="1:6" ht="14.5" thickBot="1">
      <c r="A222" s="840" t="s">
        <v>528</v>
      </c>
      <c r="B222" s="834" t="s">
        <v>359</v>
      </c>
      <c r="C222" s="1064"/>
      <c r="D222" s="1077"/>
      <c r="E222" s="1077"/>
      <c r="F222" s="1065">
        <v>0.1</v>
      </c>
    </row>
    <row r="223" spans="1:6" ht="14.5" thickBot="1">
      <c r="A223" s="840" t="s">
        <v>528</v>
      </c>
      <c r="B223" s="834" t="s">
        <v>369</v>
      </c>
      <c r="C223" s="1064"/>
      <c r="D223" s="1077"/>
      <c r="E223" s="1077"/>
      <c r="F223" s="1065">
        <v>0.15</v>
      </c>
    </row>
    <row r="224" spans="1:6" ht="14.5" thickBot="1">
      <c r="A224" s="840" t="s">
        <v>528</v>
      </c>
      <c r="B224" s="834" t="s">
        <v>379</v>
      </c>
      <c r="C224" s="1064"/>
      <c r="D224" s="1077"/>
      <c r="E224" s="1077"/>
      <c r="F224" s="1065">
        <v>0.15</v>
      </c>
    </row>
    <row r="225" spans="1:6" ht="14.5" thickBot="1">
      <c r="A225" s="840" t="s">
        <v>528</v>
      </c>
      <c r="B225" s="834" t="s">
        <v>947</v>
      </c>
      <c r="C225" s="1064">
        <v>0.15</v>
      </c>
      <c r="D225" s="1064">
        <v>0.15</v>
      </c>
      <c r="E225" s="1064">
        <v>0.15</v>
      </c>
      <c r="F225" s="1065">
        <v>0.15</v>
      </c>
    </row>
    <row r="226" spans="1:6" ht="14.5" thickBot="1">
      <c r="A226" s="840" t="s">
        <v>528</v>
      </c>
      <c r="B226" s="834" t="s">
        <v>397</v>
      </c>
      <c r="C226" s="1064">
        <v>0.15</v>
      </c>
      <c r="D226" s="1064">
        <v>0.15</v>
      </c>
      <c r="E226" s="1064">
        <v>0.15</v>
      </c>
      <c r="F226" s="1065">
        <v>0.14799999999999999</v>
      </c>
    </row>
    <row r="227" spans="1:6" ht="14.5" thickBot="1">
      <c r="A227" s="840" t="s">
        <v>528</v>
      </c>
      <c r="B227" s="834" t="s">
        <v>948</v>
      </c>
      <c r="C227" s="1064">
        <v>0.15</v>
      </c>
      <c r="D227" s="1064">
        <v>0.15</v>
      </c>
      <c r="E227" s="1064">
        <v>0.15</v>
      </c>
      <c r="F227" s="1065">
        <v>0.15</v>
      </c>
    </row>
    <row r="228" spans="1:6" ht="14.5" thickBot="1">
      <c r="A228" s="840" t="s">
        <v>528</v>
      </c>
      <c r="B228" s="834" t="s">
        <v>412</v>
      </c>
      <c r="C228" s="1064">
        <v>0.15</v>
      </c>
      <c r="D228" s="1064">
        <v>0.15</v>
      </c>
      <c r="E228" s="1064">
        <v>0.15</v>
      </c>
      <c r="F228" s="1065">
        <v>0.15</v>
      </c>
    </row>
    <row r="229" spans="1:6" ht="14.5" thickBot="1">
      <c r="A229" s="840" t="s">
        <v>528</v>
      </c>
      <c r="B229" s="834" t="s">
        <v>419</v>
      </c>
      <c r="C229" s="1064">
        <v>0.15</v>
      </c>
      <c r="D229" s="1064">
        <v>0.15</v>
      </c>
      <c r="E229" s="1064">
        <v>0.15</v>
      </c>
      <c r="F229" s="1076"/>
    </row>
    <row r="230" spans="1:6" ht="14.5" thickBot="1">
      <c r="A230" s="840" t="s">
        <v>528</v>
      </c>
      <c r="B230" s="834" t="s">
        <v>426</v>
      </c>
      <c r="C230" s="1064">
        <v>0.14499999999999999</v>
      </c>
      <c r="D230" s="1064">
        <v>0.14499999999999999</v>
      </c>
      <c r="E230" s="1064">
        <v>0.14399999999999999</v>
      </c>
      <c r="F230" s="1076"/>
    </row>
    <row r="231" spans="1:6" ht="14.5" thickBot="1">
      <c r="A231" s="840" t="s">
        <v>528</v>
      </c>
      <c r="B231" s="834" t="s">
        <v>949</v>
      </c>
      <c r="C231" s="1064">
        <v>0.128</v>
      </c>
      <c r="D231" s="1064">
        <v>0.125</v>
      </c>
      <c r="E231" s="1064">
        <v>0.13200000000000001</v>
      </c>
      <c r="F231" s="1076"/>
    </row>
    <row r="232" spans="1:6" ht="14.5" thickBot="1">
      <c r="A232" s="840" t="s">
        <v>528</v>
      </c>
      <c r="B232" s="834" t="s">
        <v>950</v>
      </c>
      <c r="C232" s="1064">
        <v>0.14499999999999999</v>
      </c>
      <c r="D232" s="1064">
        <v>0.14399999999999999</v>
      </c>
      <c r="E232" s="1064">
        <v>0.14599999999999999</v>
      </c>
      <c r="F232" s="1065">
        <v>0.13800000000000001</v>
      </c>
    </row>
    <row r="233" spans="1:6" ht="14.5" thickBot="1">
      <c r="A233" s="840" t="s">
        <v>528</v>
      </c>
      <c r="B233" s="834" t="s">
        <v>951</v>
      </c>
      <c r="C233" s="1064">
        <v>0.14499999999999999</v>
      </c>
      <c r="D233" s="1064">
        <v>0.14299999999999999</v>
      </c>
      <c r="E233" s="1064">
        <v>0.14199999999999999</v>
      </c>
      <c r="F233" s="1076"/>
    </row>
    <row r="234" spans="1:6" ht="14.5" thickBot="1">
      <c r="A234" s="840" t="s">
        <v>528</v>
      </c>
      <c r="B234" s="834" t="s">
        <v>952</v>
      </c>
      <c r="C234" s="1064">
        <v>0.14000000000000001</v>
      </c>
      <c r="D234" s="1064">
        <v>0.14000000000000001</v>
      </c>
      <c r="E234" s="1064">
        <v>0.14399999999999999</v>
      </c>
      <c r="F234" s="1076"/>
    </row>
    <row r="235" spans="1:6" ht="14.5" thickBot="1">
      <c r="A235" s="840" t="s">
        <v>528</v>
      </c>
      <c r="B235" s="834" t="s">
        <v>953</v>
      </c>
      <c r="C235" s="1064">
        <v>0.14099999999999999</v>
      </c>
      <c r="D235" s="1064">
        <v>0.14199999999999999</v>
      </c>
      <c r="E235" s="1064">
        <v>0.14499999999999999</v>
      </c>
      <c r="F235" s="1065">
        <v>0.15</v>
      </c>
    </row>
    <row r="236" spans="1:6" ht="14.5" thickBot="1">
      <c r="A236" s="840" t="s">
        <v>528</v>
      </c>
      <c r="B236" s="834" t="s">
        <v>461</v>
      </c>
      <c r="C236" s="1077"/>
      <c r="D236" s="1077"/>
      <c r="E236" s="1077"/>
      <c r="F236" s="1065">
        <v>0.14299999999999999</v>
      </c>
    </row>
    <row r="237" spans="1:6" ht="26.5" thickBot="1">
      <c r="A237" s="840" t="s">
        <v>528</v>
      </c>
      <c r="B237" s="834" t="s">
        <v>954</v>
      </c>
      <c r="C237" s="1077"/>
      <c r="D237" s="1077"/>
      <c r="E237" s="1077"/>
      <c r="F237" s="1065">
        <v>0.05</v>
      </c>
    </row>
    <row r="238" spans="1:6" ht="26.5" thickBot="1">
      <c r="A238" s="840" t="s">
        <v>528</v>
      </c>
      <c r="B238" s="834" t="s">
        <v>955</v>
      </c>
      <c r="C238" s="1077"/>
      <c r="D238" s="1077"/>
      <c r="E238" s="1077"/>
      <c r="F238" s="1065">
        <v>0.05</v>
      </c>
    </row>
    <row r="239" spans="1:6" ht="26.5" thickBot="1">
      <c r="A239" s="840" t="s">
        <v>528</v>
      </c>
      <c r="B239" s="834" t="s">
        <v>956</v>
      </c>
      <c r="C239" s="1077"/>
      <c r="D239" s="1077"/>
      <c r="E239" s="1077"/>
      <c r="F239" s="1065">
        <v>0.05</v>
      </c>
    </row>
    <row r="240" spans="1:6" ht="26.5" thickBot="1">
      <c r="A240" s="840" t="s">
        <v>528</v>
      </c>
      <c r="B240" s="834" t="s">
        <v>957</v>
      </c>
      <c r="C240" s="1077"/>
      <c r="D240" s="1077"/>
      <c r="E240" s="1077"/>
      <c r="F240" s="1065">
        <v>0.05</v>
      </c>
    </row>
    <row r="241" spans="1:6" ht="26.5" thickBot="1">
      <c r="A241" s="840" t="s">
        <v>528</v>
      </c>
      <c r="B241" s="834" t="s">
        <v>958</v>
      </c>
      <c r="C241" s="1077"/>
      <c r="D241" s="1077"/>
      <c r="E241" s="1077"/>
      <c r="F241" s="1065">
        <v>0.05</v>
      </c>
    </row>
    <row r="242" spans="1:6" ht="26.5" thickBot="1">
      <c r="A242" s="840" t="s">
        <v>528</v>
      </c>
      <c r="B242" s="834" t="s">
        <v>959</v>
      </c>
      <c r="C242" s="1077"/>
      <c r="D242" s="1077"/>
      <c r="E242" s="1077"/>
      <c r="F242" s="1065">
        <v>0.05</v>
      </c>
    </row>
    <row r="243" spans="1:6" ht="26.5" thickBot="1">
      <c r="A243" s="840" t="s">
        <v>528</v>
      </c>
      <c r="B243" s="834" t="s">
        <v>960</v>
      </c>
      <c r="C243" s="1077"/>
      <c r="D243" s="1077"/>
      <c r="E243" s="1077"/>
      <c r="F243" s="1065">
        <v>0.05</v>
      </c>
    </row>
    <row r="244" spans="1:6" ht="26.5" thickBot="1">
      <c r="A244" s="850" t="s">
        <v>528</v>
      </c>
      <c r="B244" s="846" t="s">
        <v>961</v>
      </c>
      <c r="C244" s="1074"/>
      <c r="D244" s="1074"/>
      <c r="E244" s="1074"/>
      <c r="F244" s="1067">
        <v>0.05</v>
      </c>
    </row>
    <row r="245" spans="1:6" ht="14.5" thickBot="1">
      <c r="A245" s="840" t="s">
        <v>530</v>
      </c>
      <c r="B245" s="841" t="s">
        <v>962</v>
      </c>
      <c r="C245" s="1062">
        <v>0.15</v>
      </c>
      <c r="D245" s="1062">
        <v>0.15</v>
      </c>
      <c r="E245" s="1062">
        <v>0.15</v>
      </c>
      <c r="F245" s="1063">
        <v>0.14299999999999999</v>
      </c>
    </row>
    <row r="246" spans="1:6" ht="14.5" thickBot="1">
      <c r="A246" s="840" t="s">
        <v>530</v>
      </c>
      <c r="B246" s="834" t="s">
        <v>195</v>
      </c>
      <c r="C246" s="1064">
        <v>0.15</v>
      </c>
      <c r="D246" s="1064">
        <v>0.15</v>
      </c>
      <c r="E246" s="1064">
        <v>0.15</v>
      </c>
      <c r="F246" s="1065">
        <v>0.114</v>
      </c>
    </row>
    <row r="247" spans="1:6" ht="14.5" thickBot="1">
      <c r="A247" s="840" t="s">
        <v>530</v>
      </c>
      <c r="B247" s="834" t="s">
        <v>963</v>
      </c>
      <c r="C247" s="1064">
        <v>0.15</v>
      </c>
      <c r="D247" s="1064">
        <v>0.15</v>
      </c>
      <c r="E247" s="1064">
        <v>0.15</v>
      </c>
      <c r="F247" s="1065">
        <v>0.15</v>
      </c>
    </row>
    <row r="248" spans="1:6" ht="14.5" thickBot="1">
      <c r="A248" s="840" t="s">
        <v>530</v>
      </c>
      <c r="B248" s="834" t="s">
        <v>964</v>
      </c>
      <c r="C248" s="1064">
        <v>0.15</v>
      </c>
      <c r="D248" s="1064">
        <v>0.15</v>
      </c>
      <c r="E248" s="1064">
        <v>0.15</v>
      </c>
      <c r="F248" s="1065">
        <v>0.14000000000000001</v>
      </c>
    </row>
    <row r="249" spans="1:6" ht="14.5" thickBot="1">
      <c r="A249" s="840" t="s">
        <v>530</v>
      </c>
      <c r="B249" s="834" t="s">
        <v>965</v>
      </c>
      <c r="C249" s="1064">
        <v>0.15</v>
      </c>
      <c r="D249" s="1064">
        <v>0.14899999999999999</v>
      </c>
      <c r="E249" s="1064">
        <v>0.15</v>
      </c>
      <c r="F249" s="1065">
        <v>0.1</v>
      </c>
    </row>
    <row r="250" spans="1:6" ht="14.5" thickBot="1">
      <c r="A250" s="840" t="s">
        <v>530</v>
      </c>
      <c r="B250" s="834" t="s">
        <v>966</v>
      </c>
      <c r="C250" s="1064">
        <v>0.15</v>
      </c>
      <c r="D250" s="1064">
        <v>0.15</v>
      </c>
      <c r="E250" s="1064">
        <v>0.15</v>
      </c>
      <c r="F250" s="1065">
        <v>0.14399999999999999</v>
      </c>
    </row>
    <row r="251" spans="1:6" ht="14.5" thickBot="1">
      <c r="A251" s="840" t="s">
        <v>530</v>
      </c>
      <c r="B251" s="834" t="s">
        <v>255</v>
      </c>
      <c r="C251" s="1064">
        <v>0.15</v>
      </c>
      <c r="D251" s="1064">
        <v>0.15</v>
      </c>
      <c r="E251" s="1064">
        <v>0.15</v>
      </c>
      <c r="F251" s="1065">
        <v>0.14299999999999999</v>
      </c>
    </row>
    <row r="252" spans="1:6" ht="14.5" thickBot="1">
      <c r="A252" s="840" t="s">
        <v>530</v>
      </c>
      <c r="B252" s="834" t="s">
        <v>266</v>
      </c>
      <c r="C252" s="1064">
        <v>0.15</v>
      </c>
      <c r="D252" s="1064">
        <v>0.15</v>
      </c>
      <c r="E252" s="1064">
        <v>0.15</v>
      </c>
      <c r="F252" s="1065">
        <v>0.1</v>
      </c>
    </row>
    <row r="253" spans="1:6" ht="14.5" thickBot="1">
      <c r="A253" s="840" t="s">
        <v>530</v>
      </c>
      <c r="B253" s="834" t="s">
        <v>278</v>
      </c>
      <c r="C253" s="1064">
        <v>0.15</v>
      </c>
      <c r="D253" s="1064">
        <v>0.15</v>
      </c>
      <c r="E253" s="1064">
        <v>0.15</v>
      </c>
      <c r="F253" s="1065">
        <v>0.1</v>
      </c>
    </row>
    <row r="254" spans="1:6" ht="14.5" thickBot="1">
      <c r="A254" s="840" t="s">
        <v>530</v>
      </c>
      <c r="B254" s="834" t="s">
        <v>288</v>
      </c>
      <c r="C254" s="1077"/>
      <c r="D254" s="1077"/>
      <c r="E254" s="1077"/>
      <c r="F254" s="1065">
        <v>0.15</v>
      </c>
    </row>
    <row r="255" spans="1:6" ht="14.5" thickBot="1">
      <c r="A255" s="840" t="s">
        <v>530</v>
      </c>
      <c r="B255" s="834" t="s">
        <v>298</v>
      </c>
      <c r="C255" s="1077"/>
      <c r="D255" s="1077"/>
      <c r="E255" s="1077"/>
      <c r="F255" s="1065">
        <v>0.14299999999999999</v>
      </c>
    </row>
    <row r="256" spans="1:6" ht="14.5" thickBot="1">
      <c r="A256" s="840" t="s">
        <v>530</v>
      </c>
      <c r="B256" s="834" t="s">
        <v>967</v>
      </c>
      <c r="C256" s="1064">
        <v>0.14599999999999999</v>
      </c>
      <c r="D256" s="1064">
        <v>0.14699999999999999</v>
      </c>
      <c r="E256" s="1064">
        <v>0.15</v>
      </c>
      <c r="F256" s="1065">
        <v>0.13200000000000001</v>
      </c>
    </row>
    <row r="257" spans="1:6" ht="14.5" thickBot="1">
      <c r="A257" s="840" t="s">
        <v>530</v>
      </c>
      <c r="B257" s="834" t="s">
        <v>318</v>
      </c>
      <c r="C257" s="1064">
        <v>0.15</v>
      </c>
      <c r="D257" s="1064">
        <v>0.15</v>
      </c>
      <c r="E257" s="1064">
        <v>0.15</v>
      </c>
      <c r="F257" s="1065">
        <v>0.13900000000000001</v>
      </c>
    </row>
    <row r="258" spans="1:6" ht="14.5" thickBot="1">
      <c r="A258" s="840" t="s">
        <v>530</v>
      </c>
      <c r="B258" s="834" t="s">
        <v>329</v>
      </c>
      <c r="C258" s="1064">
        <v>0.15</v>
      </c>
      <c r="D258" s="1064">
        <v>0.15</v>
      </c>
      <c r="E258" s="1064">
        <v>0.15</v>
      </c>
      <c r="F258" s="1065">
        <v>0.13</v>
      </c>
    </row>
    <row r="259" spans="1:6" ht="14.5" thickBot="1">
      <c r="A259" s="840" t="s">
        <v>530</v>
      </c>
      <c r="B259" s="834" t="s">
        <v>968</v>
      </c>
      <c r="C259" s="1064">
        <v>0.14799999999999999</v>
      </c>
      <c r="D259" s="1064">
        <v>0.14899999999999999</v>
      </c>
      <c r="E259" s="1064">
        <v>0.15</v>
      </c>
      <c r="F259" s="1065">
        <v>0.13700000000000001</v>
      </c>
    </row>
    <row r="260" spans="1:6" ht="14.5" thickBot="1">
      <c r="A260" s="840" t="s">
        <v>530</v>
      </c>
      <c r="B260" s="834" t="s">
        <v>350</v>
      </c>
      <c r="C260" s="1064">
        <v>0.15</v>
      </c>
      <c r="D260" s="1064">
        <v>0.15</v>
      </c>
      <c r="E260" s="1064">
        <v>0.15</v>
      </c>
      <c r="F260" s="1065">
        <v>0.14199999999999999</v>
      </c>
    </row>
    <row r="261" spans="1:6" ht="14.5" thickBot="1">
      <c r="A261" s="840" t="s">
        <v>530</v>
      </c>
      <c r="B261" s="834" t="s">
        <v>360</v>
      </c>
      <c r="C261" s="1064">
        <v>0.15</v>
      </c>
      <c r="D261" s="1064">
        <v>0.15</v>
      </c>
      <c r="E261" s="1064">
        <v>0.14899999999999999</v>
      </c>
      <c r="F261" s="1065">
        <v>0.14799999999999999</v>
      </c>
    </row>
    <row r="262" spans="1:6" ht="14.5" thickBot="1">
      <c r="A262" s="840" t="s">
        <v>530</v>
      </c>
      <c r="B262" s="834" t="s">
        <v>370</v>
      </c>
      <c r="C262" s="1064">
        <v>0.15</v>
      </c>
      <c r="D262" s="1064">
        <v>0.15</v>
      </c>
      <c r="E262" s="1064">
        <v>0.15</v>
      </c>
      <c r="F262" s="1076"/>
    </row>
    <row r="263" spans="1:6" ht="14.5" thickBot="1">
      <c r="A263" s="840" t="s">
        <v>530</v>
      </c>
      <c r="B263" s="834" t="s">
        <v>969</v>
      </c>
      <c r="C263" s="1064">
        <v>0.14899999999999999</v>
      </c>
      <c r="D263" s="1064">
        <v>0.14899999999999999</v>
      </c>
      <c r="E263" s="1064">
        <v>0.15</v>
      </c>
      <c r="F263" s="1065">
        <v>0.13</v>
      </c>
    </row>
    <row r="264" spans="1:6" ht="14.5" thickBot="1">
      <c r="A264" s="840" t="s">
        <v>530</v>
      </c>
      <c r="B264" s="834" t="s">
        <v>389</v>
      </c>
      <c r="C264" s="1064">
        <v>0.14799999999999999</v>
      </c>
      <c r="D264" s="1064">
        <v>0.14699999999999999</v>
      </c>
      <c r="E264" s="1064">
        <v>0.15</v>
      </c>
      <c r="F264" s="1065">
        <v>7.8E-2</v>
      </c>
    </row>
    <row r="265" spans="1:6" ht="14.5" thickBot="1">
      <c r="A265" s="840" t="s">
        <v>530</v>
      </c>
      <c r="B265" s="834" t="s">
        <v>398</v>
      </c>
      <c r="C265" s="1064">
        <v>0.15</v>
      </c>
      <c r="D265" s="1064">
        <v>0.15</v>
      </c>
      <c r="E265" s="1064">
        <v>0.15</v>
      </c>
      <c r="F265" s="1065">
        <v>7.3999999999999996E-2</v>
      </c>
    </row>
    <row r="266" spans="1:6" ht="14.5" thickBot="1">
      <c r="A266" s="840" t="s">
        <v>530</v>
      </c>
      <c r="B266" s="834" t="s">
        <v>406</v>
      </c>
      <c r="C266" s="1064">
        <v>0.14699999999999999</v>
      </c>
      <c r="D266" s="1064">
        <v>0.14699999999999999</v>
      </c>
      <c r="E266" s="1064">
        <v>0.15</v>
      </c>
      <c r="F266" s="1065">
        <v>0.14299999999999999</v>
      </c>
    </row>
    <row r="267" spans="1:6" ht="14.5" thickBot="1">
      <c r="A267" s="840" t="s">
        <v>530</v>
      </c>
      <c r="B267" s="834" t="s">
        <v>413</v>
      </c>
      <c r="C267" s="1064">
        <v>0.14199999999999999</v>
      </c>
      <c r="D267" s="1064">
        <v>0.14299999999999999</v>
      </c>
      <c r="E267" s="1064">
        <v>0.15</v>
      </c>
      <c r="F267" s="1076"/>
    </row>
    <row r="268" spans="1:6" ht="14.5" thickBot="1">
      <c r="A268" s="840" t="s">
        <v>530</v>
      </c>
      <c r="B268" s="834" t="s">
        <v>970</v>
      </c>
      <c r="C268" s="1064">
        <v>0.15</v>
      </c>
      <c r="D268" s="1064">
        <v>0.15</v>
      </c>
      <c r="E268" s="1064">
        <v>0.15</v>
      </c>
      <c r="F268" s="1065">
        <v>0.13</v>
      </c>
    </row>
    <row r="269" spans="1:6" ht="14.5" thickBot="1">
      <c r="A269" s="840" t="s">
        <v>530</v>
      </c>
      <c r="B269" s="834" t="s">
        <v>427</v>
      </c>
      <c r="C269" s="1064">
        <v>0.15</v>
      </c>
      <c r="D269" s="1064">
        <v>0.15</v>
      </c>
      <c r="E269" s="1064">
        <v>0.15</v>
      </c>
      <c r="F269" s="1065">
        <v>0.14299999999999999</v>
      </c>
    </row>
    <row r="270" spans="1:6" ht="14.5" thickBot="1">
      <c r="A270" s="840" t="s">
        <v>530</v>
      </c>
      <c r="B270" s="834" t="s">
        <v>434</v>
      </c>
      <c r="C270" s="1064">
        <v>0.14499999999999999</v>
      </c>
      <c r="D270" s="1064">
        <v>0.14499999999999999</v>
      </c>
      <c r="E270" s="1064">
        <v>0.15</v>
      </c>
      <c r="F270" s="1065">
        <v>0.14699999999999999</v>
      </c>
    </row>
    <row r="271" spans="1:6" ht="14.5" thickBot="1">
      <c r="A271" s="840" t="s">
        <v>530</v>
      </c>
      <c r="B271" s="834" t="s">
        <v>441</v>
      </c>
      <c r="C271" s="1064">
        <v>0.15</v>
      </c>
      <c r="D271" s="1064">
        <v>0.15</v>
      </c>
      <c r="E271" s="1064">
        <v>0.15</v>
      </c>
      <c r="F271" s="1065">
        <v>0.13800000000000001</v>
      </c>
    </row>
    <row r="272" spans="1:6" ht="14.5" thickBot="1">
      <c r="A272" s="840" t="s">
        <v>530</v>
      </c>
      <c r="B272" s="834" t="s">
        <v>448</v>
      </c>
      <c r="C272" s="1077"/>
      <c r="D272" s="1077"/>
      <c r="E272" s="1077"/>
      <c r="F272" s="1065">
        <v>0.14000000000000001</v>
      </c>
    </row>
    <row r="273" spans="1:6" ht="14.5" thickBot="1">
      <c r="A273" s="840" t="s">
        <v>530</v>
      </c>
      <c r="B273" s="834" t="s">
        <v>971</v>
      </c>
      <c r="C273" s="1064">
        <v>0.14199999999999999</v>
      </c>
      <c r="D273" s="1064">
        <v>0.14299999999999999</v>
      </c>
      <c r="E273" s="1064">
        <v>0.15</v>
      </c>
      <c r="F273" s="1065">
        <v>0.1</v>
      </c>
    </row>
    <row r="274" spans="1:6" ht="14.5" thickBot="1">
      <c r="A274" s="840" t="s">
        <v>530</v>
      </c>
      <c r="B274" s="834" t="s">
        <v>972</v>
      </c>
      <c r="C274" s="1064">
        <v>0.14799999999999999</v>
      </c>
      <c r="D274" s="1064">
        <v>0.14799999999999999</v>
      </c>
      <c r="E274" s="1064">
        <v>0.15</v>
      </c>
      <c r="F274" s="1065">
        <v>6.7000000000000004E-2</v>
      </c>
    </row>
    <row r="275" spans="1:6" ht="14.5" thickBot="1">
      <c r="A275" s="840" t="s">
        <v>530</v>
      </c>
      <c r="B275" s="834" t="s">
        <v>973</v>
      </c>
      <c r="C275" s="1064">
        <v>0.15</v>
      </c>
      <c r="D275" s="1064">
        <v>0.15</v>
      </c>
      <c r="E275" s="1064">
        <v>0.15</v>
      </c>
      <c r="F275" s="1065">
        <v>0.15</v>
      </c>
    </row>
    <row r="276" spans="1:6" ht="14.5" thickBot="1">
      <c r="A276" s="840" t="s">
        <v>530</v>
      </c>
      <c r="B276" s="834" t="s">
        <v>974</v>
      </c>
      <c r="C276" s="1064">
        <v>0.14499999999999999</v>
      </c>
      <c r="D276" s="1064">
        <v>0.14299999999999999</v>
      </c>
      <c r="E276" s="1064">
        <v>0.15</v>
      </c>
      <c r="F276" s="1065">
        <v>5.8999999999999997E-2</v>
      </c>
    </row>
    <row r="277" spans="1:6" ht="14.5" thickBot="1">
      <c r="A277" s="840" t="s">
        <v>530</v>
      </c>
      <c r="B277" s="834" t="s">
        <v>975</v>
      </c>
      <c r="C277" s="1064">
        <v>0.15</v>
      </c>
      <c r="D277" s="1064">
        <v>0.15</v>
      </c>
      <c r="E277" s="1064">
        <v>0.15</v>
      </c>
      <c r="F277" s="1065">
        <v>0.121</v>
      </c>
    </row>
    <row r="278" spans="1:6" ht="14.5" thickBot="1">
      <c r="A278" s="840" t="s">
        <v>530</v>
      </c>
      <c r="B278" s="834" t="s">
        <v>976</v>
      </c>
      <c r="C278" s="1064">
        <v>0.15</v>
      </c>
      <c r="D278" s="1064">
        <v>0.15</v>
      </c>
      <c r="E278" s="1064">
        <v>0.15</v>
      </c>
      <c r="F278" s="1065">
        <v>0.13800000000000001</v>
      </c>
    </row>
    <row r="279" spans="1:6" ht="26.5" thickBot="1">
      <c r="A279" s="840" t="s">
        <v>530</v>
      </c>
      <c r="B279" s="834" t="s">
        <v>977</v>
      </c>
      <c r="C279" s="1077"/>
      <c r="D279" s="1077"/>
      <c r="E279" s="1077"/>
      <c r="F279" s="1065">
        <v>0.05</v>
      </c>
    </row>
    <row r="280" spans="1:6" ht="26.5" thickBot="1">
      <c r="A280" s="840" t="s">
        <v>530</v>
      </c>
      <c r="B280" s="834" t="s">
        <v>978</v>
      </c>
      <c r="C280" s="1077"/>
      <c r="D280" s="1077"/>
      <c r="E280" s="1077"/>
      <c r="F280" s="1065">
        <v>0.05</v>
      </c>
    </row>
    <row r="281" spans="1:6" ht="26.5" thickBot="1">
      <c r="A281" s="840" t="s">
        <v>530</v>
      </c>
      <c r="B281" s="834" t="s">
        <v>979</v>
      </c>
      <c r="C281" s="1077"/>
      <c r="D281" s="1077"/>
      <c r="E281" s="1077"/>
      <c r="F281" s="1065">
        <v>0.05</v>
      </c>
    </row>
    <row r="282" spans="1:6" ht="26.5" thickBot="1">
      <c r="A282" s="840" t="s">
        <v>530</v>
      </c>
      <c r="B282" s="834" t="s">
        <v>980</v>
      </c>
      <c r="C282" s="1077"/>
      <c r="D282" s="1077"/>
      <c r="E282" s="1077"/>
      <c r="F282" s="1065">
        <v>0.05</v>
      </c>
    </row>
    <row r="283" spans="1:6" ht="26.5" thickBot="1">
      <c r="A283" s="840" t="s">
        <v>530</v>
      </c>
      <c r="B283" s="834" t="s">
        <v>981</v>
      </c>
      <c r="C283" s="1077"/>
      <c r="D283" s="1077"/>
      <c r="E283" s="1077"/>
      <c r="F283" s="1065">
        <v>0.05</v>
      </c>
    </row>
    <row r="284" spans="1:6" ht="26.5" thickBot="1">
      <c r="A284" s="840" t="s">
        <v>530</v>
      </c>
      <c r="B284" s="834" t="s">
        <v>982</v>
      </c>
      <c r="C284" s="1077"/>
      <c r="D284" s="1077"/>
      <c r="E284" s="1077"/>
      <c r="F284" s="1065">
        <v>0.05</v>
      </c>
    </row>
    <row r="285" spans="1:6" ht="26.5" thickBot="1">
      <c r="A285" s="840" t="s">
        <v>530</v>
      </c>
      <c r="B285" s="834" t="s">
        <v>983</v>
      </c>
      <c r="C285" s="1077"/>
      <c r="D285" s="1077"/>
      <c r="E285" s="1077"/>
      <c r="F285" s="1065">
        <v>0.05</v>
      </c>
    </row>
    <row r="286" spans="1:6" ht="26.5" thickBot="1">
      <c r="A286" s="840" t="s">
        <v>530</v>
      </c>
      <c r="B286" s="834" t="s">
        <v>984</v>
      </c>
      <c r="C286" s="1077"/>
      <c r="D286" s="1077"/>
      <c r="E286" s="1077"/>
      <c r="F286" s="1065">
        <v>0.05</v>
      </c>
    </row>
    <row r="287" spans="1:6" ht="26.5" thickBot="1">
      <c r="A287" s="840" t="s">
        <v>530</v>
      </c>
      <c r="B287" s="834" t="s">
        <v>985</v>
      </c>
      <c r="C287" s="1077"/>
      <c r="D287" s="1077"/>
      <c r="E287" s="1077"/>
      <c r="F287" s="1065">
        <v>0.05</v>
      </c>
    </row>
    <row r="288" spans="1:6" ht="26.5" thickBot="1">
      <c r="A288" s="840" t="s">
        <v>530</v>
      </c>
      <c r="B288" s="834" t="s">
        <v>986</v>
      </c>
      <c r="C288" s="1077"/>
      <c r="D288" s="1077"/>
      <c r="E288" s="1077"/>
      <c r="F288" s="1065">
        <v>0.05</v>
      </c>
    </row>
    <row r="289" spans="1:6" ht="26.5" thickBot="1">
      <c r="A289" s="850" t="s">
        <v>530</v>
      </c>
      <c r="B289" s="846" t="s">
        <v>987</v>
      </c>
      <c r="C289" s="1074"/>
      <c r="D289" s="1074"/>
      <c r="E289" s="1074"/>
      <c r="F289" s="1067">
        <v>0.05</v>
      </c>
    </row>
    <row r="290" spans="1:6" ht="14.5" thickBot="1">
      <c r="A290" s="840" t="s">
        <v>534</v>
      </c>
      <c r="B290" s="841" t="s">
        <v>988</v>
      </c>
      <c r="C290" s="1062">
        <v>0.15</v>
      </c>
      <c r="D290" s="1062">
        <v>0.15</v>
      </c>
      <c r="E290" s="1062">
        <v>0.15</v>
      </c>
      <c r="F290" s="1079"/>
    </row>
    <row r="291" spans="1:6" ht="14.5" thickBot="1">
      <c r="A291" s="840" t="s">
        <v>534</v>
      </c>
      <c r="B291" s="834" t="s">
        <v>196</v>
      </c>
      <c r="C291" s="1064">
        <v>0.15</v>
      </c>
      <c r="D291" s="1064">
        <v>0.15</v>
      </c>
      <c r="E291" s="1064">
        <v>0.15</v>
      </c>
      <c r="F291" s="1076"/>
    </row>
    <row r="292" spans="1:6" ht="14.5" thickBot="1">
      <c r="A292" s="840" t="s">
        <v>534</v>
      </c>
      <c r="B292" s="834" t="s">
        <v>989</v>
      </c>
      <c r="C292" s="1064">
        <v>0.15</v>
      </c>
      <c r="D292" s="1064">
        <v>0.15</v>
      </c>
      <c r="E292" s="1064">
        <v>0.15</v>
      </c>
      <c r="F292" s="1065">
        <v>0.14699999999999999</v>
      </c>
    </row>
    <row r="293" spans="1:6" ht="14.5" thickBot="1">
      <c r="A293" s="840" t="s">
        <v>534</v>
      </c>
      <c r="B293" s="834" t="s">
        <v>990</v>
      </c>
      <c r="C293" s="1077"/>
      <c r="D293" s="1077"/>
      <c r="E293" s="1077"/>
      <c r="F293" s="1065">
        <v>0.1</v>
      </c>
    </row>
    <row r="294" spans="1:6" ht="14.5" thickBot="1">
      <c r="A294" s="840" t="s">
        <v>534</v>
      </c>
      <c r="B294" s="834" t="s">
        <v>991</v>
      </c>
      <c r="C294" s="1064">
        <v>0.15</v>
      </c>
      <c r="D294" s="1064">
        <v>0.15</v>
      </c>
      <c r="E294" s="1064">
        <v>0.15</v>
      </c>
      <c r="F294" s="1065">
        <v>0.15</v>
      </c>
    </row>
    <row r="295" spans="1:6" ht="14.5" thickBot="1">
      <c r="A295" s="840" t="s">
        <v>534</v>
      </c>
      <c r="B295" s="834" t="s">
        <v>234</v>
      </c>
      <c r="C295" s="1064">
        <v>0.15</v>
      </c>
      <c r="D295" s="1064">
        <v>0.15</v>
      </c>
      <c r="E295" s="1064">
        <v>0.15</v>
      </c>
      <c r="F295" s="1065">
        <v>0.15</v>
      </c>
    </row>
    <row r="296" spans="1:6" ht="14.5" thickBot="1">
      <c r="A296" s="840" t="s">
        <v>534</v>
      </c>
      <c r="B296" s="834" t="s">
        <v>992</v>
      </c>
      <c r="C296" s="1064">
        <v>0.15</v>
      </c>
      <c r="D296" s="1064">
        <v>0.15</v>
      </c>
      <c r="E296" s="1064">
        <v>0.15</v>
      </c>
      <c r="F296" s="1065">
        <v>0.15</v>
      </c>
    </row>
    <row r="297" spans="1:6" ht="14.5" thickBot="1">
      <c r="A297" s="840" t="s">
        <v>534</v>
      </c>
      <c r="B297" s="834" t="s">
        <v>993</v>
      </c>
      <c r="C297" s="1064">
        <v>0.14799999999999999</v>
      </c>
      <c r="D297" s="1064">
        <v>0.14899999999999999</v>
      </c>
      <c r="E297" s="1064">
        <v>0.15</v>
      </c>
      <c r="F297" s="1065">
        <v>0.13700000000000001</v>
      </c>
    </row>
    <row r="298" spans="1:6" ht="14.5" thickBot="1">
      <c r="A298" s="840" t="s">
        <v>534</v>
      </c>
      <c r="B298" s="834" t="s">
        <v>267</v>
      </c>
      <c r="C298" s="1064">
        <v>0.13400000000000001</v>
      </c>
      <c r="D298" s="1064">
        <v>0.13400000000000001</v>
      </c>
      <c r="E298" s="1064">
        <v>0.14499999999999999</v>
      </c>
      <c r="F298" s="1065">
        <v>0.14799999999999999</v>
      </c>
    </row>
    <row r="299" spans="1:6" ht="14.5" thickBot="1">
      <c r="A299" s="840" t="s">
        <v>534</v>
      </c>
      <c r="B299" s="834" t="s">
        <v>279</v>
      </c>
      <c r="C299" s="1064">
        <v>0.15</v>
      </c>
      <c r="D299" s="1064">
        <v>0.15</v>
      </c>
      <c r="E299" s="1064">
        <v>0.15</v>
      </c>
      <c r="F299" s="1076"/>
    </row>
    <row r="300" spans="1:6" ht="14.5" thickBot="1">
      <c r="A300" s="840" t="s">
        <v>534</v>
      </c>
      <c r="B300" s="834" t="s">
        <v>994</v>
      </c>
      <c r="C300" s="1064">
        <v>0.15</v>
      </c>
      <c r="D300" s="1064">
        <v>0.15</v>
      </c>
      <c r="E300" s="1064">
        <v>0.15</v>
      </c>
      <c r="F300" s="1065">
        <v>0.15</v>
      </c>
    </row>
    <row r="301" spans="1:6" ht="14.5" thickBot="1">
      <c r="A301" s="840" t="s">
        <v>534</v>
      </c>
      <c r="B301" s="834" t="s">
        <v>299</v>
      </c>
      <c r="C301" s="1064">
        <v>0.15</v>
      </c>
      <c r="D301" s="1064">
        <v>0.15</v>
      </c>
      <c r="E301" s="1064">
        <v>0.15</v>
      </c>
      <c r="F301" s="1076"/>
    </row>
    <row r="302" spans="1:6" ht="14.5" thickBot="1">
      <c r="A302" s="840" t="s">
        <v>534</v>
      </c>
      <c r="B302" s="834" t="s">
        <v>995</v>
      </c>
      <c r="C302" s="1064">
        <v>0.15</v>
      </c>
      <c r="D302" s="1064">
        <v>0.15</v>
      </c>
      <c r="E302" s="1064">
        <v>0.15</v>
      </c>
      <c r="F302" s="1065">
        <v>0.15</v>
      </c>
    </row>
    <row r="303" spans="1:6" ht="14.5" thickBot="1">
      <c r="A303" s="840" t="s">
        <v>534</v>
      </c>
      <c r="B303" s="834" t="s">
        <v>319</v>
      </c>
      <c r="C303" s="1064">
        <v>0.15</v>
      </c>
      <c r="D303" s="1064">
        <v>0.15</v>
      </c>
      <c r="E303" s="1064">
        <v>0.15</v>
      </c>
      <c r="F303" s="1065">
        <v>0.15</v>
      </c>
    </row>
    <row r="304" spans="1:6" ht="14.5" thickBot="1">
      <c r="A304" s="840" t="s">
        <v>534</v>
      </c>
      <c r="B304" s="834" t="s">
        <v>330</v>
      </c>
      <c r="C304" s="1064">
        <v>0.15</v>
      </c>
      <c r="D304" s="1064">
        <v>0.15</v>
      </c>
      <c r="E304" s="1064">
        <v>0.15</v>
      </c>
      <c r="F304" s="1076"/>
    </row>
    <row r="305" spans="1:6" ht="14.5" thickBot="1">
      <c r="A305" s="840" t="s">
        <v>534</v>
      </c>
      <c r="B305" s="834" t="s">
        <v>996</v>
      </c>
      <c r="C305" s="1064">
        <v>0.15</v>
      </c>
      <c r="D305" s="1064">
        <v>0.15</v>
      </c>
      <c r="E305" s="1064">
        <v>0.15</v>
      </c>
      <c r="F305" s="1065">
        <v>0.14000000000000001</v>
      </c>
    </row>
    <row r="306" spans="1:6" ht="14.5" thickBot="1">
      <c r="A306" s="840" t="s">
        <v>534</v>
      </c>
      <c r="B306" s="834" t="s">
        <v>351</v>
      </c>
      <c r="C306" s="1064">
        <v>0.15</v>
      </c>
      <c r="D306" s="1064">
        <v>0.15</v>
      </c>
      <c r="E306" s="1064">
        <v>0.15</v>
      </c>
      <c r="F306" s="1076"/>
    </row>
    <row r="307" spans="1:6" ht="14.5" thickBot="1">
      <c r="A307" s="840" t="s">
        <v>534</v>
      </c>
      <c r="B307" s="834" t="s">
        <v>997</v>
      </c>
      <c r="C307" s="1064">
        <v>0.15</v>
      </c>
      <c r="D307" s="1064">
        <v>0.15</v>
      </c>
      <c r="E307" s="1064">
        <v>0.15</v>
      </c>
      <c r="F307" s="1065">
        <v>0.14299999999999999</v>
      </c>
    </row>
    <row r="308" spans="1:6" ht="14.5" thickBot="1">
      <c r="A308" s="840" t="s">
        <v>534</v>
      </c>
      <c r="B308" s="834" t="s">
        <v>371</v>
      </c>
      <c r="C308" s="1064">
        <v>0.15</v>
      </c>
      <c r="D308" s="1064">
        <v>0.15</v>
      </c>
      <c r="E308" s="1064">
        <v>0.15</v>
      </c>
      <c r="F308" s="1065">
        <v>0.15</v>
      </c>
    </row>
    <row r="309" spans="1:6" ht="14.5" thickBot="1">
      <c r="A309" s="840" t="s">
        <v>534</v>
      </c>
      <c r="B309" s="834" t="s">
        <v>381</v>
      </c>
      <c r="C309" s="1064">
        <v>0.15</v>
      </c>
      <c r="D309" s="1064">
        <v>0.15</v>
      </c>
      <c r="E309" s="1064">
        <v>0.15</v>
      </c>
      <c r="F309" s="1076"/>
    </row>
    <row r="310" spans="1:6" ht="14.5" thickBot="1">
      <c r="A310" s="840" t="s">
        <v>534</v>
      </c>
      <c r="B310" s="834" t="s">
        <v>998</v>
      </c>
      <c r="C310" s="1064">
        <v>0.15</v>
      </c>
      <c r="D310" s="1064">
        <v>0.15</v>
      </c>
      <c r="E310" s="1064">
        <v>0.15</v>
      </c>
      <c r="F310" s="1065">
        <v>0.13700000000000001</v>
      </c>
    </row>
    <row r="311" spans="1:6" ht="14.5" thickBot="1">
      <c r="A311" s="840" t="s">
        <v>534</v>
      </c>
      <c r="B311" s="834" t="s">
        <v>999</v>
      </c>
      <c r="C311" s="1064">
        <v>0.15</v>
      </c>
      <c r="D311" s="1064">
        <v>0.15</v>
      </c>
      <c r="E311" s="1064">
        <v>0.15</v>
      </c>
      <c r="F311" s="1065">
        <v>0.15</v>
      </c>
    </row>
    <row r="312" spans="1:6" ht="14.5" thickBot="1">
      <c r="A312" s="840" t="s">
        <v>534</v>
      </c>
      <c r="B312" s="834" t="s">
        <v>407</v>
      </c>
      <c r="C312" s="1064">
        <v>0.15</v>
      </c>
      <c r="D312" s="1064">
        <v>0.15</v>
      </c>
      <c r="E312" s="1064">
        <v>0.15</v>
      </c>
      <c r="F312" s="1065">
        <v>0.1</v>
      </c>
    </row>
    <row r="313" spans="1:6" ht="14.5" thickBot="1">
      <c r="A313" s="840" t="s">
        <v>534</v>
      </c>
      <c r="B313" s="834" t="s">
        <v>1000</v>
      </c>
      <c r="C313" s="1064">
        <v>0.15</v>
      </c>
      <c r="D313" s="1064">
        <v>0.15</v>
      </c>
      <c r="E313" s="1064">
        <v>0.15</v>
      </c>
      <c r="F313" s="1065">
        <v>0.15</v>
      </c>
    </row>
    <row r="314" spans="1:6" ht="26.5" thickBot="1">
      <c r="A314" s="840" t="s">
        <v>534</v>
      </c>
      <c r="B314" s="834" t="s">
        <v>1001</v>
      </c>
      <c r="C314" s="1077"/>
      <c r="D314" s="1077"/>
      <c r="E314" s="1077"/>
      <c r="F314" s="1065">
        <v>0.05</v>
      </c>
    </row>
    <row r="315" spans="1:6" ht="26.5" thickBot="1">
      <c r="A315" s="840" t="s">
        <v>534</v>
      </c>
      <c r="B315" s="834" t="s">
        <v>1002</v>
      </c>
      <c r="C315" s="1077"/>
      <c r="D315" s="1077"/>
      <c r="E315" s="1077"/>
      <c r="F315" s="1065">
        <v>0.05</v>
      </c>
    </row>
    <row r="316" spans="1:6" ht="26.5" thickBot="1">
      <c r="A316" s="850" t="s">
        <v>534</v>
      </c>
      <c r="B316" s="846" t="s">
        <v>1003</v>
      </c>
      <c r="C316" s="1074"/>
      <c r="D316" s="1074"/>
      <c r="E316" s="1074"/>
      <c r="F316" s="1067">
        <v>0.05</v>
      </c>
    </row>
    <row r="317" spans="1:6" ht="14.5" thickBot="1">
      <c r="A317" s="840" t="s">
        <v>1004</v>
      </c>
      <c r="B317" s="841" t="s">
        <v>1005</v>
      </c>
      <c r="C317" s="1062">
        <v>0.15</v>
      </c>
      <c r="D317" s="1062">
        <v>0.15</v>
      </c>
      <c r="E317" s="1062">
        <v>0.15</v>
      </c>
      <c r="F317" s="1063">
        <v>0.15</v>
      </c>
    </row>
    <row r="318" spans="1:6" ht="14.5" thickBot="1">
      <c r="A318" s="840" t="s">
        <v>1004</v>
      </c>
      <c r="B318" s="834" t="s">
        <v>1006</v>
      </c>
      <c r="C318" s="1064">
        <v>0.107</v>
      </c>
      <c r="D318" s="1064">
        <v>0.11</v>
      </c>
      <c r="E318" s="1064">
        <v>0.112</v>
      </c>
      <c r="F318" s="1076"/>
    </row>
    <row r="319" spans="1:6" ht="14.5" thickBot="1">
      <c r="A319" s="840" t="s">
        <v>1004</v>
      </c>
      <c r="B319" s="834" t="s">
        <v>1007</v>
      </c>
      <c r="C319" s="1064">
        <v>0.15</v>
      </c>
      <c r="D319" s="1064">
        <v>0.15</v>
      </c>
      <c r="E319" s="1064">
        <v>0.15</v>
      </c>
      <c r="F319" s="1065">
        <v>0.15</v>
      </c>
    </row>
    <row r="320" spans="1:6" ht="14.5" thickBot="1">
      <c r="A320" s="840" t="s">
        <v>1004</v>
      </c>
      <c r="B320" s="834" t="s">
        <v>223</v>
      </c>
      <c r="C320" s="1064">
        <v>0.15</v>
      </c>
      <c r="D320" s="1064">
        <v>0.15</v>
      </c>
      <c r="E320" s="1064">
        <v>0.15</v>
      </c>
      <c r="F320" s="1076"/>
    </row>
    <row r="321" spans="1:6" ht="14.5" thickBot="1">
      <c r="A321" s="840" t="s">
        <v>1004</v>
      </c>
      <c r="B321" s="834" t="s">
        <v>1008</v>
      </c>
      <c r="C321" s="1064">
        <v>0.15</v>
      </c>
      <c r="D321" s="1064">
        <v>0.15</v>
      </c>
      <c r="E321" s="1064">
        <v>0.15</v>
      </c>
      <c r="F321" s="1076"/>
    </row>
    <row r="322" spans="1:6" ht="14.5" thickBot="1">
      <c r="A322" s="840" t="s">
        <v>1004</v>
      </c>
      <c r="B322" s="834" t="s">
        <v>1009</v>
      </c>
      <c r="C322" s="1064">
        <v>0.15</v>
      </c>
      <c r="D322" s="1064">
        <v>0.15</v>
      </c>
      <c r="E322" s="1064">
        <v>0.15</v>
      </c>
      <c r="F322" s="1065">
        <v>0.15</v>
      </c>
    </row>
    <row r="323" spans="1:6" ht="14.5" thickBot="1">
      <c r="A323" s="840" t="s">
        <v>1004</v>
      </c>
      <c r="B323" s="834" t="s">
        <v>1010</v>
      </c>
      <c r="C323" s="1064">
        <v>0.15</v>
      </c>
      <c r="D323" s="1064">
        <v>0.15</v>
      </c>
      <c r="E323" s="1064">
        <v>0.15</v>
      </c>
      <c r="F323" s="1076"/>
    </row>
    <row r="324" spans="1:6" ht="14.5" thickBot="1">
      <c r="A324" s="840" t="s">
        <v>1004</v>
      </c>
      <c r="B324" s="834" t="s">
        <v>1011</v>
      </c>
      <c r="C324" s="1064">
        <v>0.15</v>
      </c>
      <c r="D324" s="1064">
        <v>0.15</v>
      </c>
      <c r="E324" s="1064">
        <v>0.15</v>
      </c>
      <c r="F324" s="1076"/>
    </row>
    <row r="325" spans="1:6" ht="14.5" thickBot="1">
      <c r="A325" s="840" t="s">
        <v>1004</v>
      </c>
      <c r="B325" s="834" t="s">
        <v>1012</v>
      </c>
      <c r="C325" s="1064">
        <v>0.15</v>
      </c>
      <c r="D325" s="1064">
        <v>0.15</v>
      </c>
      <c r="E325" s="1064">
        <v>0.15</v>
      </c>
      <c r="F325" s="1065">
        <v>0.14699999999999999</v>
      </c>
    </row>
    <row r="326" spans="1:6" ht="14.5" thickBot="1">
      <c r="A326" s="840" t="s">
        <v>1004</v>
      </c>
      <c r="B326" s="834" t="s">
        <v>290</v>
      </c>
      <c r="C326" s="1064">
        <v>0.15</v>
      </c>
      <c r="D326" s="1064">
        <v>0.15</v>
      </c>
      <c r="E326" s="1064">
        <v>0.15</v>
      </c>
      <c r="F326" s="1076"/>
    </row>
    <row r="327" spans="1:6" ht="14.5" thickBot="1">
      <c r="A327" s="840" t="s">
        <v>1004</v>
      </c>
      <c r="B327" s="834" t="s">
        <v>1013</v>
      </c>
      <c r="C327" s="1064">
        <v>0.15</v>
      </c>
      <c r="D327" s="1064">
        <v>0.15</v>
      </c>
      <c r="E327" s="1064">
        <v>0.15</v>
      </c>
      <c r="F327" s="1065">
        <v>0.15</v>
      </c>
    </row>
    <row r="328" spans="1:6" ht="14.5" thickBot="1">
      <c r="A328" s="840" t="s">
        <v>1004</v>
      </c>
      <c r="B328" s="834" t="s">
        <v>310</v>
      </c>
      <c r="C328" s="1064">
        <v>0.15</v>
      </c>
      <c r="D328" s="1064">
        <v>0.15</v>
      </c>
      <c r="E328" s="1064">
        <v>0.15</v>
      </c>
      <c r="F328" s="1065">
        <v>0.14099999999999999</v>
      </c>
    </row>
    <row r="329" spans="1:6" ht="14.5" thickBot="1">
      <c r="A329" s="840" t="s">
        <v>1004</v>
      </c>
      <c r="B329" s="834" t="s">
        <v>320</v>
      </c>
      <c r="C329" s="1064">
        <v>0.15</v>
      </c>
      <c r="D329" s="1064">
        <v>0.15</v>
      </c>
      <c r="E329" s="1064">
        <v>0.15</v>
      </c>
      <c r="F329" s="1065">
        <v>0.15</v>
      </c>
    </row>
    <row r="330" spans="1:6" ht="14.5" thickBot="1">
      <c r="A330" s="840" t="s">
        <v>1004</v>
      </c>
      <c r="B330" s="834" t="s">
        <v>331</v>
      </c>
      <c r="C330" s="1064">
        <v>0.15</v>
      </c>
      <c r="D330" s="1064">
        <v>0.15</v>
      </c>
      <c r="E330" s="1064">
        <v>0.15</v>
      </c>
      <c r="F330" s="1076"/>
    </row>
    <row r="331" spans="1:6" ht="14.5" thickBot="1">
      <c r="A331" s="840" t="s">
        <v>1004</v>
      </c>
      <c r="B331" s="834" t="s">
        <v>1014</v>
      </c>
      <c r="C331" s="1064">
        <v>0.15</v>
      </c>
      <c r="D331" s="1064">
        <v>0.15</v>
      </c>
      <c r="E331" s="1064">
        <v>0.15</v>
      </c>
      <c r="F331" s="1065">
        <v>0.15</v>
      </c>
    </row>
    <row r="332" spans="1:6" ht="14.5" thickBot="1">
      <c r="A332" s="840" t="s">
        <v>1004</v>
      </c>
      <c r="B332" s="834" t="s">
        <v>352</v>
      </c>
      <c r="C332" s="1064">
        <v>0.15</v>
      </c>
      <c r="D332" s="1064">
        <v>0.15</v>
      </c>
      <c r="E332" s="1064">
        <v>0.15</v>
      </c>
      <c r="F332" s="1065">
        <v>0.15</v>
      </c>
    </row>
    <row r="333" spans="1:6" ht="14.5" thickBot="1">
      <c r="A333" s="840" t="s">
        <v>1004</v>
      </c>
      <c r="B333" s="834" t="s">
        <v>1015</v>
      </c>
      <c r="C333" s="1064">
        <v>0.15</v>
      </c>
      <c r="D333" s="1064">
        <v>0.15</v>
      </c>
      <c r="E333" s="1064">
        <v>0.15</v>
      </c>
      <c r="F333" s="1065">
        <v>0.14099999999999999</v>
      </c>
    </row>
    <row r="334" spans="1:6" ht="14.5" thickBot="1">
      <c r="A334" s="840" t="s">
        <v>1004</v>
      </c>
      <c r="B334" s="834" t="s">
        <v>372</v>
      </c>
      <c r="C334" s="1064">
        <v>0.15</v>
      </c>
      <c r="D334" s="1064">
        <v>0.15</v>
      </c>
      <c r="E334" s="1064">
        <v>0.15</v>
      </c>
      <c r="F334" s="1065">
        <v>0.15</v>
      </c>
    </row>
    <row r="335" spans="1:6" ht="14.5" thickBot="1">
      <c r="A335" s="840" t="s">
        <v>1004</v>
      </c>
      <c r="B335" s="834" t="s">
        <v>382</v>
      </c>
      <c r="C335" s="1064">
        <v>0.15</v>
      </c>
      <c r="D335" s="1064">
        <v>0.15</v>
      </c>
      <c r="E335" s="1064">
        <v>0.15</v>
      </c>
      <c r="F335" s="1076"/>
    </row>
    <row r="336" spans="1:6" ht="14.5" thickBot="1">
      <c r="A336" s="840" t="s">
        <v>1004</v>
      </c>
      <c r="B336" s="834" t="s">
        <v>1016</v>
      </c>
      <c r="C336" s="1064">
        <v>0.15</v>
      </c>
      <c r="D336" s="1064">
        <v>0.15</v>
      </c>
      <c r="E336" s="1064">
        <v>0.15</v>
      </c>
      <c r="F336" s="1065">
        <v>0.11799999999999999</v>
      </c>
    </row>
    <row r="337" spans="1:6" ht="14.5" thickBot="1">
      <c r="A337" s="850" t="s">
        <v>1004</v>
      </c>
      <c r="B337" s="846" t="s">
        <v>400</v>
      </c>
      <c r="C337" s="1074"/>
      <c r="D337" s="1074"/>
      <c r="E337" s="1074"/>
      <c r="F337" s="1067">
        <v>0.14299999999999999</v>
      </c>
    </row>
    <row r="338" spans="1:6" ht="14.5" thickBot="1">
      <c r="A338" s="840" t="s">
        <v>1017</v>
      </c>
      <c r="B338" s="841" t="s">
        <v>1018</v>
      </c>
      <c r="C338" s="1062">
        <v>0.15</v>
      </c>
      <c r="D338" s="1062">
        <v>0.15</v>
      </c>
      <c r="E338" s="1062">
        <v>0.15</v>
      </c>
      <c r="F338" s="1079"/>
    </row>
    <row r="339" spans="1:6" ht="14.5" thickBot="1">
      <c r="A339" s="840" t="s">
        <v>1017</v>
      </c>
      <c r="B339" s="834" t="s">
        <v>1019</v>
      </c>
      <c r="C339" s="1064">
        <v>0.15</v>
      </c>
      <c r="D339" s="1064">
        <v>0.15</v>
      </c>
      <c r="E339" s="1064">
        <v>0.15</v>
      </c>
      <c r="F339" s="1076"/>
    </row>
    <row r="340" spans="1:6" ht="14.5" thickBot="1">
      <c r="A340" s="840" t="s">
        <v>1017</v>
      </c>
      <c r="B340" s="834" t="s">
        <v>1020</v>
      </c>
      <c r="C340" s="1064">
        <v>0.15</v>
      </c>
      <c r="D340" s="1064">
        <v>0.15</v>
      </c>
      <c r="E340" s="1064">
        <v>0.15</v>
      </c>
      <c r="F340" s="1076"/>
    </row>
    <row r="341" spans="1:6" ht="14.5" thickBot="1">
      <c r="A341" s="840" t="s">
        <v>1017</v>
      </c>
      <c r="B341" s="834" t="s">
        <v>1021</v>
      </c>
      <c r="C341" s="1064">
        <v>0.15</v>
      </c>
      <c r="D341" s="1064">
        <v>0.15</v>
      </c>
      <c r="E341" s="1064">
        <v>0.15</v>
      </c>
      <c r="F341" s="1065">
        <v>0.15</v>
      </c>
    </row>
    <row r="342" spans="1:6" ht="14.5" thickBot="1">
      <c r="A342" s="840" t="s">
        <v>1017</v>
      </c>
      <c r="B342" s="834" t="s">
        <v>1022</v>
      </c>
      <c r="C342" s="1064">
        <v>0.15</v>
      </c>
      <c r="D342" s="1064">
        <v>0.15</v>
      </c>
      <c r="E342" s="1064">
        <v>0.15</v>
      </c>
      <c r="F342" s="1065">
        <v>0.15</v>
      </c>
    </row>
    <row r="343" spans="1:6" ht="14.5" thickBot="1">
      <c r="A343" s="840" t="s">
        <v>1017</v>
      </c>
      <c r="B343" s="834" t="s">
        <v>1023</v>
      </c>
      <c r="C343" s="1064">
        <v>0.15</v>
      </c>
      <c r="D343" s="1064">
        <v>0.15</v>
      </c>
      <c r="E343" s="1064">
        <v>0.15</v>
      </c>
      <c r="F343" s="1065">
        <v>0.15</v>
      </c>
    </row>
    <row r="344" spans="1:6" ht="14.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4"/>
  <cols>
    <col min="1" max="1" width="4.90625" style="1637" customWidth="1"/>
    <col min="2" max="2" width="13.1796875" style="1643" customWidth="1"/>
    <col min="3" max="3" width="15.6328125" style="1643" customWidth="1"/>
    <col min="4" max="4" width="9.36328125" style="1643" bestFit="1" customWidth="1"/>
    <col min="5" max="5" width="13.453125" style="1643" customWidth="1"/>
    <col min="6" max="6" width="9" style="1643"/>
    <col min="7" max="7" width="9.36328125" style="1643" bestFit="1" customWidth="1"/>
    <col min="8" max="8" width="12.1796875" style="1643" customWidth="1"/>
    <col min="9" max="9" width="9" style="1643"/>
    <col min="10" max="10" width="9.36328125" style="1643" bestFit="1" customWidth="1"/>
    <col min="11" max="11" width="4" style="1637" customWidth="1"/>
    <col min="12" max="12" width="5.08984375" style="1643" customWidth="1"/>
    <col min="13" max="13" width="13.81640625" style="1643" customWidth="1"/>
    <col min="14" max="256" width="9" style="1643"/>
    <col min="257" max="257" width="4.90625" style="1634" customWidth="1"/>
    <col min="258" max="258" width="13.1796875" style="1634" customWidth="1"/>
    <col min="259" max="259" width="15.6328125" style="1634" customWidth="1"/>
    <col min="260" max="260" width="9.36328125" style="1634" bestFit="1" customWidth="1"/>
    <col min="261" max="261" width="13.453125" style="1634" customWidth="1"/>
    <col min="262" max="262" width="9" style="1634"/>
    <col min="263" max="263" width="9.36328125" style="1634" bestFit="1" customWidth="1"/>
    <col min="264" max="265" width="9" style="1634"/>
    <col min="266" max="266" width="9.36328125" style="1634" bestFit="1" customWidth="1"/>
    <col min="267" max="267" width="4" style="1634" customWidth="1"/>
    <col min="268" max="268" width="5.08984375" style="1634" customWidth="1"/>
    <col min="269" max="269" width="13.81640625" style="1634" customWidth="1"/>
    <col min="270" max="512" width="9" style="1634"/>
    <col min="513" max="513" width="4.90625" style="1634" customWidth="1"/>
    <col min="514" max="514" width="13.1796875" style="1634" customWidth="1"/>
    <col min="515" max="515" width="15.6328125" style="1634" customWidth="1"/>
    <col min="516" max="516" width="9.36328125" style="1634" bestFit="1" customWidth="1"/>
    <col min="517" max="517" width="13.453125" style="1634" customWidth="1"/>
    <col min="518" max="518" width="9" style="1634"/>
    <col min="519" max="519" width="9.36328125" style="1634" bestFit="1" customWidth="1"/>
    <col min="520" max="521" width="9" style="1634"/>
    <col min="522" max="522" width="9.36328125" style="1634" bestFit="1" customWidth="1"/>
    <col min="523" max="523" width="4" style="1634" customWidth="1"/>
    <col min="524" max="524" width="5.08984375" style="1634" customWidth="1"/>
    <col min="525" max="525" width="13.81640625" style="1634" customWidth="1"/>
    <col min="526" max="768" width="9" style="1634"/>
    <col min="769" max="769" width="4.90625" style="1634" customWidth="1"/>
    <col min="770" max="770" width="13.1796875" style="1634" customWidth="1"/>
    <col min="771" max="771" width="15.6328125" style="1634" customWidth="1"/>
    <col min="772" max="772" width="9.36328125" style="1634" bestFit="1" customWidth="1"/>
    <col min="773" max="773" width="13.453125" style="1634" customWidth="1"/>
    <col min="774" max="774" width="9" style="1634"/>
    <col min="775" max="775" width="9.36328125" style="1634" bestFit="1" customWidth="1"/>
    <col min="776" max="777" width="9" style="1634"/>
    <col min="778" max="778" width="9.36328125" style="1634" bestFit="1" customWidth="1"/>
    <col min="779" max="779" width="4" style="1634" customWidth="1"/>
    <col min="780" max="780" width="5.08984375" style="1634" customWidth="1"/>
    <col min="781" max="781" width="13.81640625" style="1634" customWidth="1"/>
    <col min="782" max="1024" width="9" style="1634"/>
    <col min="1025" max="1025" width="4.90625" style="1634" customWidth="1"/>
    <col min="1026" max="1026" width="13.1796875" style="1634" customWidth="1"/>
    <col min="1027" max="1027" width="15.6328125" style="1634" customWidth="1"/>
    <col min="1028" max="1028" width="9.36328125" style="1634" bestFit="1" customWidth="1"/>
    <col min="1029" max="1029" width="13.453125" style="1634" customWidth="1"/>
    <col min="1030" max="1030" width="9" style="1634"/>
    <col min="1031" max="1031" width="9.36328125" style="1634" bestFit="1" customWidth="1"/>
    <col min="1032" max="1033" width="9" style="1634"/>
    <col min="1034" max="1034" width="9.36328125" style="1634" bestFit="1" customWidth="1"/>
    <col min="1035" max="1035" width="4" style="1634" customWidth="1"/>
    <col min="1036" max="1036" width="5.08984375" style="1634" customWidth="1"/>
    <col min="1037" max="1037" width="13.81640625" style="1634" customWidth="1"/>
    <col min="1038" max="1280" width="9" style="1634"/>
    <col min="1281" max="1281" width="4.90625" style="1634" customWidth="1"/>
    <col min="1282" max="1282" width="13.1796875" style="1634" customWidth="1"/>
    <col min="1283" max="1283" width="15.6328125" style="1634" customWidth="1"/>
    <col min="1284" max="1284" width="9.36328125" style="1634" bestFit="1" customWidth="1"/>
    <col min="1285" max="1285" width="13.453125" style="1634" customWidth="1"/>
    <col min="1286" max="1286" width="9" style="1634"/>
    <col min="1287" max="1287" width="9.36328125" style="1634" bestFit="1" customWidth="1"/>
    <col min="1288" max="1289" width="9" style="1634"/>
    <col min="1290" max="1290" width="9.36328125" style="1634" bestFit="1" customWidth="1"/>
    <col min="1291" max="1291" width="4" style="1634" customWidth="1"/>
    <col min="1292" max="1292" width="5.08984375" style="1634" customWidth="1"/>
    <col min="1293" max="1293" width="13.81640625" style="1634" customWidth="1"/>
    <col min="1294" max="1536" width="9" style="1634"/>
    <col min="1537" max="1537" width="4.90625" style="1634" customWidth="1"/>
    <col min="1538" max="1538" width="13.1796875" style="1634" customWidth="1"/>
    <col min="1539" max="1539" width="15.6328125" style="1634" customWidth="1"/>
    <col min="1540" max="1540" width="9.36328125" style="1634" bestFit="1" customWidth="1"/>
    <col min="1541" max="1541" width="13.453125" style="1634" customWidth="1"/>
    <col min="1542" max="1542" width="9" style="1634"/>
    <col min="1543" max="1543" width="9.36328125" style="1634" bestFit="1" customWidth="1"/>
    <col min="1544" max="1545" width="9" style="1634"/>
    <col min="1546" max="1546" width="9.36328125" style="1634" bestFit="1" customWidth="1"/>
    <col min="1547" max="1547" width="4" style="1634" customWidth="1"/>
    <col min="1548" max="1548" width="5.08984375" style="1634" customWidth="1"/>
    <col min="1549" max="1549" width="13.81640625" style="1634" customWidth="1"/>
    <col min="1550" max="1792" width="9" style="1634"/>
    <col min="1793" max="1793" width="4.90625" style="1634" customWidth="1"/>
    <col min="1794" max="1794" width="13.1796875" style="1634" customWidth="1"/>
    <col min="1795" max="1795" width="15.6328125" style="1634" customWidth="1"/>
    <col min="1796" max="1796" width="9.36328125" style="1634" bestFit="1" customWidth="1"/>
    <col min="1797" max="1797" width="13.453125" style="1634" customWidth="1"/>
    <col min="1798" max="1798" width="9" style="1634"/>
    <col min="1799" max="1799" width="9.36328125" style="1634" bestFit="1" customWidth="1"/>
    <col min="1800" max="1801" width="9" style="1634"/>
    <col min="1802" max="1802" width="9.36328125" style="1634" bestFit="1" customWidth="1"/>
    <col min="1803" max="1803" width="4" style="1634" customWidth="1"/>
    <col min="1804" max="1804" width="5.08984375" style="1634" customWidth="1"/>
    <col min="1805" max="1805" width="13.81640625" style="1634" customWidth="1"/>
    <col min="1806" max="2048" width="9" style="1634"/>
    <col min="2049" max="2049" width="4.90625" style="1634" customWidth="1"/>
    <col min="2050" max="2050" width="13.1796875" style="1634" customWidth="1"/>
    <col min="2051" max="2051" width="15.6328125" style="1634" customWidth="1"/>
    <col min="2052" max="2052" width="9.36328125" style="1634" bestFit="1" customWidth="1"/>
    <col min="2053" max="2053" width="13.453125" style="1634" customWidth="1"/>
    <col min="2054" max="2054" width="9" style="1634"/>
    <col min="2055" max="2055" width="9.36328125" style="1634" bestFit="1" customWidth="1"/>
    <col min="2056" max="2057" width="9" style="1634"/>
    <col min="2058" max="2058" width="9.36328125" style="1634" bestFit="1" customWidth="1"/>
    <col min="2059" max="2059" width="4" style="1634" customWidth="1"/>
    <col min="2060" max="2060" width="5.08984375" style="1634" customWidth="1"/>
    <col min="2061" max="2061" width="13.81640625" style="1634" customWidth="1"/>
    <col min="2062" max="2304" width="9" style="1634"/>
    <col min="2305" max="2305" width="4.90625" style="1634" customWidth="1"/>
    <col min="2306" max="2306" width="13.1796875" style="1634" customWidth="1"/>
    <col min="2307" max="2307" width="15.6328125" style="1634" customWidth="1"/>
    <col min="2308" max="2308" width="9.36328125" style="1634" bestFit="1" customWidth="1"/>
    <col min="2309" max="2309" width="13.453125" style="1634" customWidth="1"/>
    <col min="2310" max="2310" width="9" style="1634"/>
    <col min="2311" max="2311" width="9.36328125" style="1634" bestFit="1" customWidth="1"/>
    <col min="2312" max="2313" width="9" style="1634"/>
    <col min="2314" max="2314" width="9.36328125" style="1634" bestFit="1" customWidth="1"/>
    <col min="2315" max="2315" width="4" style="1634" customWidth="1"/>
    <col min="2316" max="2316" width="5.08984375" style="1634" customWidth="1"/>
    <col min="2317" max="2317" width="13.81640625" style="1634" customWidth="1"/>
    <col min="2318" max="2560" width="9" style="1634"/>
    <col min="2561" max="2561" width="4.90625" style="1634" customWidth="1"/>
    <col min="2562" max="2562" width="13.1796875" style="1634" customWidth="1"/>
    <col min="2563" max="2563" width="15.6328125" style="1634" customWidth="1"/>
    <col min="2564" max="2564" width="9.36328125" style="1634" bestFit="1" customWidth="1"/>
    <col min="2565" max="2565" width="13.453125" style="1634" customWidth="1"/>
    <col min="2566" max="2566" width="9" style="1634"/>
    <col min="2567" max="2567" width="9.36328125" style="1634" bestFit="1" customWidth="1"/>
    <col min="2568" max="2569" width="9" style="1634"/>
    <col min="2570" max="2570" width="9.36328125" style="1634" bestFit="1" customWidth="1"/>
    <col min="2571" max="2571" width="4" style="1634" customWidth="1"/>
    <col min="2572" max="2572" width="5.08984375" style="1634" customWidth="1"/>
    <col min="2573" max="2573" width="13.81640625" style="1634" customWidth="1"/>
    <col min="2574" max="2816" width="9" style="1634"/>
    <col min="2817" max="2817" width="4.90625" style="1634" customWidth="1"/>
    <col min="2818" max="2818" width="13.1796875" style="1634" customWidth="1"/>
    <col min="2819" max="2819" width="15.6328125" style="1634" customWidth="1"/>
    <col min="2820" max="2820" width="9.36328125" style="1634" bestFit="1" customWidth="1"/>
    <col min="2821" max="2821" width="13.453125" style="1634" customWidth="1"/>
    <col min="2822" max="2822" width="9" style="1634"/>
    <col min="2823" max="2823" width="9.36328125" style="1634" bestFit="1" customWidth="1"/>
    <col min="2824" max="2825" width="9" style="1634"/>
    <col min="2826" max="2826" width="9.36328125" style="1634" bestFit="1" customWidth="1"/>
    <col min="2827" max="2827" width="4" style="1634" customWidth="1"/>
    <col min="2828" max="2828" width="5.08984375" style="1634" customWidth="1"/>
    <col min="2829" max="2829" width="13.81640625" style="1634" customWidth="1"/>
    <col min="2830" max="3072" width="9" style="1634"/>
    <col min="3073" max="3073" width="4.90625" style="1634" customWidth="1"/>
    <col min="3074" max="3074" width="13.1796875" style="1634" customWidth="1"/>
    <col min="3075" max="3075" width="15.6328125" style="1634" customWidth="1"/>
    <col min="3076" max="3076" width="9.36328125" style="1634" bestFit="1" customWidth="1"/>
    <col min="3077" max="3077" width="13.453125" style="1634" customWidth="1"/>
    <col min="3078" max="3078" width="9" style="1634"/>
    <col min="3079" max="3079" width="9.36328125" style="1634" bestFit="1" customWidth="1"/>
    <col min="3080" max="3081" width="9" style="1634"/>
    <col min="3082" max="3082" width="9.36328125" style="1634" bestFit="1" customWidth="1"/>
    <col min="3083" max="3083" width="4" style="1634" customWidth="1"/>
    <col min="3084" max="3084" width="5.08984375" style="1634" customWidth="1"/>
    <col min="3085" max="3085" width="13.81640625" style="1634" customWidth="1"/>
    <col min="3086" max="3328" width="9" style="1634"/>
    <col min="3329" max="3329" width="4.90625" style="1634" customWidth="1"/>
    <col min="3330" max="3330" width="13.1796875" style="1634" customWidth="1"/>
    <col min="3331" max="3331" width="15.6328125" style="1634" customWidth="1"/>
    <col min="3332" max="3332" width="9.36328125" style="1634" bestFit="1" customWidth="1"/>
    <col min="3333" max="3333" width="13.453125" style="1634" customWidth="1"/>
    <col min="3334" max="3334" width="9" style="1634"/>
    <col min="3335" max="3335" width="9.36328125" style="1634" bestFit="1" customWidth="1"/>
    <col min="3336" max="3337" width="9" style="1634"/>
    <col min="3338" max="3338" width="9.36328125" style="1634" bestFit="1" customWidth="1"/>
    <col min="3339" max="3339" width="4" style="1634" customWidth="1"/>
    <col min="3340" max="3340" width="5.08984375" style="1634" customWidth="1"/>
    <col min="3341" max="3341" width="13.81640625" style="1634" customWidth="1"/>
    <col min="3342" max="3584" width="9" style="1634"/>
    <col min="3585" max="3585" width="4.90625" style="1634" customWidth="1"/>
    <col min="3586" max="3586" width="13.1796875" style="1634" customWidth="1"/>
    <col min="3587" max="3587" width="15.6328125" style="1634" customWidth="1"/>
    <col min="3588" max="3588" width="9.36328125" style="1634" bestFit="1" customWidth="1"/>
    <col min="3589" max="3589" width="13.453125" style="1634" customWidth="1"/>
    <col min="3590" max="3590" width="9" style="1634"/>
    <col min="3591" max="3591" width="9.36328125" style="1634" bestFit="1" customWidth="1"/>
    <col min="3592" max="3593" width="9" style="1634"/>
    <col min="3594" max="3594" width="9.36328125" style="1634" bestFit="1" customWidth="1"/>
    <col min="3595" max="3595" width="4" style="1634" customWidth="1"/>
    <col min="3596" max="3596" width="5.08984375" style="1634" customWidth="1"/>
    <col min="3597" max="3597" width="13.81640625" style="1634" customWidth="1"/>
    <col min="3598" max="3840" width="9" style="1634"/>
    <col min="3841" max="3841" width="4.90625" style="1634" customWidth="1"/>
    <col min="3842" max="3842" width="13.1796875" style="1634" customWidth="1"/>
    <col min="3843" max="3843" width="15.6328125" style="1634" customWidth="1"/>
    <col min="3844" max="3844" width="9.36328125" style="1634" bestFit="1" customWidth="1"/>
    <col min="3845" max="3845" width="13.453125" style="1634" customWidth="1"/>
    <col min="3846" max="3846" width="9" style="1634"/>
    <col min="3847" max="3847" width="9.36328125" style="1634" bestFit="1" customWidth="1"/>
    <col min="3848" max="3849" width="9" style="1634"/>
    <col min="3850" max="3850" width="9.36328125" style="1634" bestFit="1" customWidth="1"/>
    <col min="3851" max="3851" width="4" style="1634" customWidth="1"/>
    <col min="3852" max="3852" width="5.08984375" style="1634" customWidth="1"/>
    <col min="3853" max="3853" width="13.81640625" style="1634" customWidth="1"/>
    <col min="3854" max="4096" width="9" style="1634"/>
    <col min="4097" max="4097" width="4.90625" style="1634" customWidth="1"/>
    <col min="4098" max="4098" width="13.1796875" style="1634" customWidth="1"/>
    <col min="4099" max="4099" width="15.6328125" style="1634" customWidth="1"/>
    <col min="4100" max="4100" width="9.36328125" style="1634" bestFit="1" customWidth="1"/>
    <col min="4101" max="4101" width="13.453125" style="1634" customWidth="1"/>
    <col min="4102" max="4102" width="9" style="1634"/>
    <col min="4103" max="4103" width="9.36328125" style="1634" bestFit="1" customWidth="1"/>
    <col min="4104" max="4105" width="9" style="1634"/>
    <col min="4106" max="4106" width="9.36328125" style="1634" bestFit="1" customWidth="1"/>
    <col min="4107" max="4107" width="4" style="1634" customWidth="1"/>
    <col min="4108" max="4108" width="5.08984375" style="1634" customWidth="1"/>
    <col min="4109" max="4109" width="13.81640625" style="1634" customWidth="1"/>
    <col min="4110" max="4352" width="9" style="1634"/>
    <col min="4353" max="4353" width="4.90625" style="1634" customWidth="1"/>
    <col min="4354" max="4354" width="13.1796875" style="1634" customWidth="1"/>
    <col min="4355" max="4355" width="15.6328125" style="1634" customWidth="1"/>
    <col min="4356" max="4356" width="9.36328125" style="1634" bestFit="1" customWidth="1"/>
    <col min="4357" max="4357" width="13.453125" style="1634" customWidth="1"/>
    <col min="4358" max="4358" width="9" style="1634"/>
    <col min="4359" max="4359" width="9.36328125" style="1634" bestFit="1" customWidth="1"/>
    <col min="4360" max="4361" width="9" style="1634"/>
    <col min="4362" max="4362" width="9.36328125" style="1634" bestFit="1" customWidth="1"/>
    <col min="4363" max="4363" width="4" style="1634" customWidth="1"/>
    <col min="4364" max="4364" width="5.08984375" style="1634" customWidth="1"/>
    <col min="4365" max="4365" width="13.81640625" style="1634" customWidth="1"/>
    <col min="4366" max="4608" width="9" style="1634"/>
    <col min="4609" max="4609" width="4.90625" style="1634" customWidth="1"/>
    <col min="4610" max="4610" width="13.1796875" style="1634" customWidth="1"/>
    <col min="4611" max="4611" width="15.6328125" style="1634" customWidth="1"/>
    <col min="4612" max="4612" width="9.36328125" style="1634" bestFit="1" customWidth="1"/>
    <col min="4613" max="4613" width="13.453125" style="1634" customWidth="1"/>
    <col min="4614" max="4614" width="9" style="1634"/>
    <col min="4615" max="4615" width="9.36328125" style="1634" bestFit="1" customWidth="1"/>
    <col min="4616" max="4617" width="9" style="1634"/>
    <col min="4618" max="4618" width="9.36328125" style="1634" bestFit="1" customWidth="1"/>
    <col min="4619" max="4619" width="4" style="1634" customWidth="1"/>
    <col min="4620" max="4620" width="5.08984375" style="1634" customWidth="1"/>
    <col min="4621" max="4621" width="13.81640625" style="1634" customWidth="1"/>
    <col min="4622" max="4864" width="9" style="1634"/>
    <col min="4865" max="4865" width="4.90625" style="1634" customWidth="1"/>
    <col min="4866" max="4866" width="13.1796875" style="1634" customWidth="1"/>
    <col min="4867" max="4867" width="15.6328125" style="1634" customWidth="1"/>
    <col min="4868" max="4868" width="9.36328125" style="1634" bestFit="1" customWidth="1"/>
    <col min="4869" max="4869" width="13.453125" style="1634" customWidth="1"/>
    <col min="4870" max="4870" width="9" style="1634"/>
    <col min="4871" max="4871" width="9.36328125" style="1634" bestFit="1" customWidth="1"/>
    <col min="4872" max="4873" width="9" style="1634"/>
    <col min="4874" max="4874" width="9.36328125" style="1634" bestFit="1" customWidth="1"/>
    <col min="4875" max="4875" width="4" style="1634" customWidth="1"/>
    <col min="4876" max="4876" width="5.08984375" style="1634" customWidth="1"/>
    <col min="4877" max="4877" width="13.81640625" style="1634" customWidth="1"/>
    <col min="4878" max="5120" width="9" style="1634"/>
    <col min="5121" max="5121" width="4.90625" style="1634" customWidth="1"/>
    <col min="5122" max="5122" width="13.1796875" style="1634" customWidth="1"/>
    <col min="5123" max="5123" width="15.6328125" style="1634" customWidth="1"/>
    <col min="5124" max="5124" width="9.36328125" style="1634" bestFit="1" customWidth="1"/>
    <col min="5125" max="5125" width="13.453125" style="1634" customWidth="1"/>
    <col min="5126" max="5126" width="9" style="1634"/>
    <col min="5127" max="5127" width="9.36328125" style="1634" bestFit="1" customWidth="1"/>
    <col min="5128" max="5129" width="9" style="1634"/>
    <col min="5130" max="5130" width="9.36328125" style="1634" bestFit="1" customWidth="1"/>
    <col min="5131" max="5131" width="4" style="1634" customWidth="1"/>
    <col min="5132" max="5132" width="5.08984375" style="1634" customWidth="1"/>
    <col min="5133" max="5133" width="13.81640625" style="1634" customWidth="1"/>
    <col min="5134" max="5376" width="9" style="1634"/>
    <col min="5377" max="5377" width="4.90625" style="1634" customWidth="1"/>
    <col min="5378" max="5378" width="13.1796875" style="1634" customWidth="1"/>
    <col min="5379" max="5379" width="15.6328125" style="1634" customWidth="1"/>
    <col min="5380" max="5380" width="9.36328125" style="1634" bestFit="1" customWidth="1"/>
    <col min="5381" max="5381" width="13.453125" style="1634" customWidth="1"/>
    <col min="5382" max="5382" width="9" style="1634"/>
    <col min="5383" max="5383" width="9.36328125" style="1634" bestFit="1" customWidth="1"/>
    <col min="5384" max="5385" width="9" style="1634"/>
    <col min="5386" max="5386" width="9.36328125" style="1634" bestFit="1" customWidth="1"/>
    <col min="5387" max="5387" width="4" style="1634" customWidth="1"/>
    <col min="5388" max="5388" width="5.08984375" style="1634" customWidth="1"/>
    <col min="5389" max="5389" width="13.81640625" style="1634" customWidth="1"/>
    <col min="5390" max="5632" width="9" style="1634"/>
    <col min="5633" max="5633" width="4.90625" style="1634" customWidth="1"/>
    <col min="5634" max="5634" width="13.1796875" style="1634" customWidth="1"/>
    <col min="5635" max="5635" width="15.6328125" style="1634" customWidth="1"/>
    <col min="5636" max="5636" width="9.36328125" style="1634" bestFit="1" customWidth="1"/>
    <col min="5637" max="5637" width="13.453125" style="1634" customWidth="1"/>
    <col min="5638" max="5638" width="9" style="1634"/>
    <col min="5639" max="5639" width="9.36328125" style="1634" bestFit="1" customWidth="1"/>
    <col min="5640" max="5641" width="9" style="1634"/>
    <col min="5642" max="5642" width="9.36328125" style="1634" bestFit="1" customWidth="1"/>
    <col min="5643" max="5643" width="4" style="1634" customWidth="1"/>
    <col min="5644" max="5644" width="5.08984375" style="1634" customWidth="1"/>
    <col min="5645" max="5645" width="13.81640625" style="1634" customWidth="1"/>
    <col min="5646" max="5888" width="9" style="1634"/>
    <col min="5889" max="5889" width="4.90625" style="1634" customWidth="1"/>
    <col min="5890" max="5890" width="13.1796875" style="1634" customWidth="1"/>
    <col min="5891" max="5891" width="15.6328125" style="1634" customWidth="1"/>
    <col min="5892" max="5892" width="9.36328125" style="1634" bestFit="1" customWidth="1"/>
    <col min="5893" max="5893" width="13.453125" style="1634" customWidth="1"/>
    <col min="5894" max="5894" width="9" style="1634"/>
    <col min="5895" max="5895" width="9.36328125" style="1634" bestFit="1" customWidth="1"/>
    <col min="5896" max="5897" width="9" style="1634"/>
    <col min="5898" max="5898" width="9.36328125" style="1634" bestFit="1" customWidth="1"/>
    <col min="5899" max="5899" width="4" style="1634" customWidth="1"/>
    <col min="5900" max="5900" width="5.08984375" style="1634" customWidth="1"/>
    <col min="5901" max="5901" width="13.81640625" style="1634" customWidth="1"/>
    <col min="5902" max="6144" width="9" style="1634"/>
    <col min="6145" max="6145" width="4.90625" style="1634" customWidth="1"/>
    <col min="6146" max="6146" width="13.1796875" style="1634" customWidth="1"/>
    <col min="6147" max="6147" width="15.6328125" style="1634" customWidth="1"/>
    <col min="6148" max="6148" width="9.36328125" style="1634" bestFit="1" customWidth="1"/>
    <col min="6149" max="6149" width="13.453125" style="1634" customWidth="1"/>
    <col min="6150" max="6150" width="9" style="1634"/>
    <col min="6151" max="6151" width="9.36328125" style="1634" bestFit="1" customWidth="1"/>
    <col min="6152" max="6153" width="9" style="1634"/>
    <col min="6154" max="6154" width="9.36328125" style="1634" bestFit="1" customWidth="1"/>
    <col min="6155" max="6155" width="4" style="1634" customWidth="1"/>
    <col min="6156" max="6156" width="5.08984375" style="1634" customWidth="1"/>
    <col min="6157" max="6157" width="13.81640625" style="1634" customWidth="1"/>
    <col min="6158" max="6400" width="9" style="1634"/>
    <col min="6401" max="6401" width="4.90625" style="1634" customWidth="1"/>
    <col min="6402" max="6402" width="13.1796875" style="1634" customWidth="1"/>
    <col min="6403" max="6403" width="15.6328125" style="1634" customWidth="1"/>
    <col min="6404" max="6404" width="9.36328125" style="1634" bestFit="1" customWidth="1"/>
    <col min="6405" max="6405" width="13.453125" style="1634" customWidth="1"/>
    <col min="6406" max="6406" width="9" style="1634"/>
    <col min="6407" max="6407" width="9.36328125" style="1634" bestFit="1" customWidth="1"/>
    <col min="6408" max="6409" width="9" style="1634"/>
    <col min="6410" max="6410" width="9.36328125" style="1634" bestFit="1" customWidth="1"/>
    <col min="6411" max="6411" width="4" style="1634" customWidth="1"/>
    <col min="6412" max="6412" width="5.08984375" style="1634" customWidth="1"/>
    <col min="6413" max="6413" width="13.81640625" style="1634" customWidth="1"/>
    <col min="6414" max="6656" width="9" style="1634"/>
    <col min="6657" max="6657" width="4.90625" style="1634" customWidth="1"/>
    <col min="6658" max="6658" width="13.1796875" style="1634" customWidth="1"/>
    <col min="6659" max="6659" width="15.6328125" style="1634" customWidth="1"/>
    <col min="6660" max="6660" width="9.36328125" style="1634" bestFit="1" customWidth="1"/>
    <col min="6661" max="6661" width="13.453125" style="1634" customWidth="1"/>
    <col min="6662" max="6662" width="9" style="1634"/>
    <col min="6663" max="6663" width="9.36328125" style="1634" bestFit="1" customWidth="1"/>
    <col min="6664" max="6665" width="9" style="1634"/>
    <col min="6666" max="6666" width="9.36328125" style="1634" bestFit="1" customWidth="1"/>
    <col min="6667" max="6667" width="4" style="1634" customWidth="1"/>
    <col min="6668" max="6668" width="5.08984375" style="1634" customWidth="1"/>
    <col min="6669" max="6669" width="13.81640625" style="1634" customWidth="1"/>
    <col min="6670" max="6912" width="9" style="1634"/>
    <col min="6913" max="6913" width="4.90625" style="1634" customWidth="1"/>
    <col min="6914" max="6914" width="13.1796875" style="1634" customWidth="1"/>
    <col min="6915" max="6915" width="15.6328125" style="1634" customWidth="1"/>
    <col min="6916" max="6916" width="9.36328125" style="1634" bestFit="1" customWidth="1"/>
    <col min="6917" max="6917" width="13.453125" style="1634" customWidth="1"/>
    <col min="6918" max="6918" width="9" style="1634"/>
    <col min="6919" max="6919" width="9.36328125" style="1634" bestFit="1" customWidth="1"/>
    <col min="6920" max="6921" width="9" style="1634"/>
    <col min="6922" max="6922" width="9.36328125" style="1634" bestFit="1" customWidth="1"/>
    <col min="6923" max="6923" width="4" style="1634" customWidth="1"/>
    <col min="6924" max="6924" width="5.08984375" style="1634" customWidth="1"/>
    <col min="6925" max="6925" width="13.81640625" style="1634" customWidth="1"/>
    <col min="6926" max="7168" width="9" style="1634"/>
    <col min="7169" max="7169" width="4.90625" style="1634" customWidth="1"/>
    <col min="7170" max="7170" width="13.1796875" style="1634" customWidth="1"/>
    <col min="7171" max="7171" width="15.6328125" style="1634" customWidth="1"/>
    <col min="7172" max="7172" width="9.36328125" style="1634" bestFit="1" customWidth="1"/>
    <col min="7173" max="7173" width="13.453125" style="1634" customWidth="1"/>
    <col min="7174" max="7174" width="9" style="1634"/>
    <col min="7175" max="7175" width="9.36328125" style="1634" bestFit="1" customWidth="1"/>
    <col min="7176" max="7177" width="9" style="1634"/>
    <col min="7178" max="7178" width="9.36328125" style="1634" bestFit="1" customWidth="1"/>
    <col min="7179" max="7179" width="4" style="1634" customWidth="1"/>
    <col min="7180" max="7180" width="5.08984375" style="1634" customWidth="1"/>
    <col min="7181" max="7181" width="13.81640625" style="1634" customWidth="1"/>
    <col min="7182" max="7424" width="9" style="1634"/>
    <col min="7425" max="7425" width="4.90625" style="1634" customWidth="1"/>
    <col min="7426" max="7426" width="13.1796875" style="1634" customWidth="1"/>
    <col min="7427" max="7427" width="15.6328125" style="1634" customWidth="1"/>
    <col min="7428" max="7428" width="9.36328125" style="1634" bestFit="1" customWidth="1"/>
    <col min="7429" max="7429" width="13.453125" style="1634" customWidth="1"/>
    <col min="7430" max="7430" width="9" style="1634"/>
    <col min="7431" max="7431" width="9.36328125" style="1634" bestFit="1" customWidth="1"/>
    <col min="7432" max="7433" width="9" style="1634"/>
    <col min="7434" max="7434" width="9.36328125" style="1634" bestFit="1" customWidth="1"/>
    <col min="7435" max="7435" width="4" style="1634" customWidth="1"/>
    <col min="7436" max="7436" width="5.08984375" style="1634" customWidth="1"/>
    <col min="7437" max="7437" width="13.81640625" style="1634" customWidth="1"/>
    <col min="7438" max="7680" width="9" style="1634"/>
    <col min="7681" max="7681" width="4.90625" style="1634" customWidth="1"/>
    <col min="7682" max="7682" width="13.1796875" style="1634" customWidth="1"/>
    <col min="7683" max="7683" width="15.6328125" style="1634" customWidth="1"/>
    <col min="7684" max="7684" width="9.36328125" style="1634" bestFit="1" customWidth="1"/>
    <col min="7685" max="7685" width="13.453125" style="1634" customWidth="1"/>
    <col min="7686" max="7686" width="9" style="1634"/>
    <col min="7687" max="7687" width="9.36328125" style="1634" bestFit="1" customWidth="1"/>
    <col min="7688" max="7689" width="9" style="1634"/>
    <col min="7690" max="7690" width="9.36328125" style="1634" bestFit="1" customWidth="1"/>
    <col min="7691" max="7691" width="4" style="1634" customWidth="1"/>
    <col min="7692" max="7692" width="5.08984375" style="1634" customWidth="1"/>
    <col min="7693" max="7693" width="13.81640625" style="1634" customWidth="1"/>
    <col min="7694" max="7936" width="9" style="1634"/>
    <col min="7937" max="7937" width="4.90625" style="1634" customWidth="1"/>
    <col min="7938" max="7938" width="13.1796875" style="1634" customWidth="1"/>
    <col min="7939" max="7939" width="15.6328125" style="1634" customWidth="1"/>
    <col min="7940" max="7940" width="9.36328125" style="1634" bestFit="1" customWidth="1"/>
    <col min="7941" max="7941" width="13.453125" style="1634" customWidth="1"/>
    <col min="7942" max="7942" width="9" style="1634"/>
    <col min="7943" max="7943" width="9.36328125" style="1634" bestFit="1" customWidth="1"/>
    <col min="7944" max="7945" width="9" style="1634"/>
    <col min="7946" max="7946" width="9.36328125" style="1634" bestFit="1" customWidth="1"/>
    <col min="7947" max="7947" width="4" style="1634" customWidth="1"/>
    <col min="7948" max="7948" width="5.08984375" style="1634" customWidth="1"/>
    <col min="7949" max="7949" width="13.81640625" style="1634" customWidth="1"/>
    <col min="7950" max="8192" width="9" style="1634"/>
    <col min="8193" max="8193" width="4.90625" style="1634" customWidth="1"/>
    <col min="8194" max="8194" width="13.1796875" style="1634" customWidth="1"/>
    <col min="8195" max="8195" width="15.6328125" style="1634" customWidth="1"/>
    <col min="8196" max="8196" width="9.36328125" style="1634" bestFit="1" customWidth="1"/>
    <col min="8197" max="8197" width="13.453125" style="1634" customWidth="1"/>
    <col min="8198" max="8198" width="9" style="1634"/>
    <col min="8199" max="8199" width="9.36328125" style="1634" bestFit="1" customWidth="1"/>
    <col min="8200" max="8201" width="9" style="1634"/>
    <col min="8202" max="8202" width="9.36328125" style="1634" bestFit="1" customWidth="1"/>
    <col min="8203" max="8203" width="4" style="1634" customWidth="1"/>
    <col min="8204" max="8204" width="5.08984375" style="1634" customWidth="1"/>
    <col min="8205" max="8205" width="13.81640625" style="1634" customWidth="1"/>
    <col min="8206" max="8448" width="9" style="1634"/>
    <col min="8449" max="8449" width="4.90625" style="1634" customWidth="1"/>
    <col min="8450" max="8450" width="13.1796875" style="1634" customWidth="1"/>
    <col min="8451" max="8451" width="15.6328125" style="1634" customWidth="1"/>
    <col min="8452" max="8452" width="9.36328125" style="1634" bestFit="1" customWidth="1"/>
    <col min="8453" max="8453" width="13.453125" style="1634" customWidth="1"/>
    <col min="8454" max="8454" width="9" style="1634"/>
    <col min="8455" max="8455" width="9.36328125" style="1634" bestFit="1" customWidth="1"/>
    <col min="8456" max="8457" width="9" style="1634"/>
    <col min="8458" max="8458" width="9.36328125" style="1634" bestFit="1" customWidth="1"/>
    <col min="8459" max="8459" width="4" style="1634" customWidth="1"/>
    <col min="8460" max="8460" width="5.08984375" style="1634" customWidth="1"/>
    <col min="8461" max="8461" width="13.81640625" style="1634" customWidth="1"/>
    <col min="8462" max="8704" width="9" style="1634"/>
    <col min="8705" max="8705" width="4.90625" style="1634" customWidth="1"/>
    <col min="8706" max="8706" width="13.1796875" style="1634" customWidth="1"/>
    <col min="8707" max="8707" width="15.6328125" style="1634" customWidth="1"/>
    <col min="8708" max="8708" width="9.36328125" style="1634" bestFit="1" customWidth="1"/>
    <col min="8709" max="8709" width="13.453125" style="1634" customWidth="1"/>
    <col min="8710" max="8710" width="9" style="1634"/>
    <col min="8711" max="8711" width="9.36328125" style="1634" bestFit="1" customWidth="1"/>
    <col min="8712" max="8713" width="9" style="1634"/>
    <col min="8714" max="8714" width="9.36328125" style="1634" bestFit="1" customWidth="1"/>
    <col min="8715" max="8715" width="4" style="1634" customWidth="1"/>
    <col min="8716" max="8716" width="5.08984375" style="1634" customWidth="1"/>
    <col min="8717" max="8717" width="13.81640625" style="1634" customWidth="1"/>
    <col min="8718" max="8960" width="9" style="1634"/>
    <col min="8961" max="8961" width="4.90625" style="1634" customWidth="1"/>
    <col min="8962" max="8962" width="13.1796875" style="1634" customWidth="1"/>
    <col min="8963" max="8963" width="15.6328125" style="1634" customWidth="1"/>
    <col min="8964" max="8964" width="9.36328125" style="1634" bestFit="1" customWidth="1"/>
    <col min="8965" max="8965" width="13.453125" style="1634" customWidth="1"/>
    <col min="8966" max="8966" width="9" style="1634"/>
    <col min="8967" max="8967" width="9.36328125" style="1634" bestFit="1" customWidth="1"/>
    <col min="8968" max="8969" width="9" style="1634"/>
    <col min="8970" max="8970" width="9.36328125" style="1634" bestFit="1" customWidth="1"/>
    <col min="8971" max="8971" width="4" style="1634" customWidth="1"/>
    <col min="8972" max="8972" width="5.08984375" style="1634" customWidth="1"/>
    <col min="8973" max="8973" width="13.81640625" style="1634" customWidth="1"/>
    <col min="8974" max="9216" width="9" style="1634"/>
    <col min="9217" max="9217" width="4.90625" style="1634" customWidth="1"/>
    <col min="9218" max="9218" width="13.1796875" style="1634" customWidth="1"/>
    <col min="9219" max="9219" width="15.6328125" style="1634" customWidth="1"/>
    <col min="9220" max="9220" width="9.36328125" style="1634" bestFit="1" customWidth="1"/>
    <col min="9221" max="9221" width="13.453125" style="1634" customWidth="1"/>
    <col min="9222" max="9222" width="9" style="1634"/>
    <col min="9223" max="9223" width="9.36328125" style="1634" bestFit="1" customWidth="1"/>
    <col min="9224" max="9225" width="9" style="1634"/>
    <col min="9226" max="9226" width="9.36328125" style="1634" bestFit="1" customWidth="1"/>
    <col min="9227" max="9227" width="4" style="1634" customWidth="1"/>
    <col min="9228" max="9228" width="5.08984375" style="1634" customWidth="1"/>
    <col min="9229" max="9229" width="13.81640625" style="1634" customWidth="1"/>
    <col min="9230" max="9472" width="9" style="1634"/>
    <col min="9473" max="9473" width="4.90625" style="1634" customWidth="1"/>
    <col min="9474" max="9474" width="13.1796875" style="1634" customWidth="1"/>
    <col min="9475" max="9475" width="15.6328125" style="1634" customWidth="1"/>
    <col min="9476" max="9476" width="9.36328125" style="1634" bestFit="1" customWidth="1"/>
    <col min="9477" max="9477" width="13.453125" style="1634" customWidth="1"/>
    <col min="9478" max="9478" width="9" style="1634"/>
    <col min="9479" max="9479" width="9.36328125" style="1634" bestFit="1" customWidth="1"/>
    <col min="9480" max="9481" width="9" style="1634"/>
    <col min="9482" max="9482" width="9.36328125" style="1634" bestFit="1" customWidth="1"/>
    <col min="9483" max="9483" width="4" style="1634" customWidth="1"/>
    <col min="9484" max="9484" width="5.08984375" style="1634" customWidth="1"/>
    <col min="9485" max="9485" width="13.81640625" style="1634" customWidth="1"/>
    <col min="9486" max="9728" width="9" style="1634"/>
    <col min="9729" max="9729" width="4.90625" style="1634" customWidth="1"/>
    <col min="9730" max="9730" width="13.1796875" style="1634" customWidth="1"/>
    <col min="9731" max="9731" width="15.6328125" style="1634" customWidth="1"/>
    <col min="9732" max="9732" width="9.36328125" style="1634" bestFit="1" customWidth="1"/>
    <col min="9733" max="9733" width="13.453125" style="1634" customWidth="1"/>
    <col min="9734" max="9734" width="9" style="1634"/>
    <col min="9735" max="9735" width="9.36328125" style="1634" bestFit="1" customWidth="1"/>
    <col min="9736" max="9737" width="9" style="1634"/>
    <col min="9738" max="9738" width="9.36328125" style="1634" bestFit="1" customWidth="1"/>
    <col min="9739" max="9739" width="4" style="1634" customWidth="1"/>
    <col min="9740" max="9740" width="5.08984375" style="1634" customWidth="1"/>
    <col min="9741" max="9741" width="13.81640625" style="1634" customWidth="1"/>
    <col min="9742" max="9984" width="9" style="1634"/>
    <col min="9985" max="9985" width="4.90625" style="1634" customWidth="1"/>
    <col min="9986" max="9986" width="13.1796875" style="1634" customWidth="1"/>
    <col min="9987" max="9987" width="15.6328125" style="1634" customWidth="1"/>
    <col min="9988" max="9988" width="9.36328125" style="1634" bestFit="1" customWidth="1"/>
    <col min="9989" max="9989" width="13.453125" style="1634" customWidth="1"/>
    <col min="9990" max="9990" width="9" style="1634"/>
    <col min="9991" max="9991" width="9.36328125" style="1634" bestFit="1" customWidth="1"/>
    <col min="9992" max="9993" width="9" style="1634"/>
    <col min="9994" max="9994" width="9.36328125" style="1634" bestFit="1" customWidth="1"/>
    <col min="9995" max="9995" width="4" style="1634" customWidth="1"/>
    <col min="9996" max="9996" width="5.08984375" style="1634" customWidth="1"/>
    <col min="9997" max="9997" width="13.81640625" style="1634" customWidth="1"/>
    <col min="9998" max="10240" width="9" style="1634"/>
    <col min="10241" max="10241" width="4.90625" style="1634" customWidth="1"/>
    <col min="10242" max="10242" width="13.1796875" style="1634" customWidth="1"/>
    <col min="10243" max="10243" width="15.6328125" style="1634" customWidth="1"/>
    <col min="10244" max="10244" width="9.36328125" style="1634" bestFit="1" customWidth="1"/>
    <col min="10245" max="10245" width="13.453125" style="1634" customWidth="1"/>
    <col min="10246" max="10246" width="9" style="1634"/>
    <col min="10247" max="10247" width="9.36328125" style="1634" bestFit="1" customWidth="1"/>
    <col min="10248" max="10249" width="9" style="1634"/>
    <col min="10250" max="10250" width="9.36328125" style="1634" bestFit="1" customWidth="1"/>
    <col min="10251" max="10251" width="4" style="1634" customWidth="1"/>
    <col min="10252" max="10252" width="5.08984375" style="1634" customWidth="1"/>
    <col min="10253" max="10253" width="13.81640625" style="1634" customWidth="1"/>
    <col min="10254" max="10496" width="9" style="1634"/>
    <col min="10497" max="10497" width="4.90625" style="1634" customWidth="1"/>
    <col min="10498" max="10498" width="13.1796875" style="1634" customWidth="1"/>
    <col min="10499" max="10499" width="15.6328125" style="1634" customWidth="1"/>
    <col min="10500" max="10500" width="9.36328125" style="1634" bestFit="1" customWidth="1"/>
    <col min="10501" max="10501" width="13.453125" style="1634" customWidth="1"/>
    <col min="10502" max="10502" width="9" style="1634"/>
    <col min="10503" max="10503" width="9.36328125" style="1634" bestFit="1" customWidth="1"/>
    <col min="10504" max="10505" width="9" style="1634"/>
    <col min="10506" max="10506" width="9.36328125" style="1634" bestFit="1" customWidth="1"/>
    <col min="10507" max="10507" width="4" style="1634" customWidth="1"/>
    <col min="10508" max="10508" width="5.08984375" style="1634" customWidth="1"/>
    <col min="10509" max="10509" width="13.81640625" style="1634" customWidth="1"/>
    <col min="10510" max="10752" width="9" style="1634"/>
    <col min="10753" max="10753" width="4.90625" style="1634" customWidth="1"/>
    <col min="10754" max="10754" width="13.1796875" style="1634" customWidth="1"/>
    <col min="10755" max="10755" width="15.6328125" style="1634" customWidth="1"/>
    <col min="10756" max="10756" width="9.36328125" style="1634" bestFit="1" customWidth="1"/>
    <col min="10757" max="10757" width="13.453125" style="1634" customWidth="1"/>
    <col min="10758" max="10758" width="9" style="1634"/>
    <col min="10759" max="10759" width="9.36328125" style="1634" bestFit="1" customWidth="1"/>
    <col min="10760" max="10761" width="9" style="1634"/>
    <col min="10762" max="10762" width="9.36328125" style="1634" bestFit="1" customWidth="1"/>
    <col min="10763" max="10763" width="4" style="1634" customWidth="1"/>
    <col min="10764" max="10764" width="5.08984375" style="1634" customWidth="1"/>
    <col min="10765" max="10765" width="13.81640625" style="1634" customWidth="1"/>
    <col min="10766" max="11008" width="9" style="1634"/>
    <col min="11009" max="11009" width="4.90625" style="1634" customWidth="1"/>
    <col min="11010" max="11010" width="13.1796875" style="1634" customWidth="1"/>
    <col min="11011" max="11011" width="15.6328125" style="1634" customWidth="1"/>
    <col min="11012" max="11012" width="9.36328125" style="1634" bestFit="1" customWidth="1"/>
    <col min="11013" max="11013" width="13.453125" style="1634" customWidth="1"/>
    <col min="11014" max="11014" width="9" style="1634"/>
    <col min="11015" max="11015" width="9.36328125" style="1634" bestFit="1" customWidth="1"/>
    <col min="11016" max="11017" width="9" style="1634"/>
    <col min="11018" max="11018" width="9.36328125" style="1634" bestFit="1" customWidth="1"/>
    <col min="11019" max="11019" width="4" style="1634" customWidth="1"/>
    <col min="11020" max="11020" width="5.08984375" style="1634" customWidth="1"/>
    <col min="11021" max="11021" width="13.81640625" style="1634" customWidth="1"/>
    <col min="11022" max="11264" width="9" style="1634"/>
    <col min="11265" max="11265" width="4.90625" style="1634" customWidth="1"/>
    <col min="11266" max="11266" width="13.1796875" style="1634" customWidth="1"/>
    <col min="11267" max="11267" width="15.6328125" style="1634" customWidth="1"/>
    <col min="11268" max="11268" width="9.36328125" style="1634" bestFit="1" customWidth="1"/>
    <col min="11269" max="11269" width="13.453125" style="1634" customWidth="1"/>
    <col min="11270" max="11270" width="9" style="1634"/>
    <col min="11271" max="11271" width="9.36328125" style="1634" bestFit="1" customWidth="1"/>
    <col min="11272" max="11273" width="9" style="1634"/>
    <col min="11274" max="11274" width="9.36328125" style="1634" bestFit="1" customWidth="1"/>
    <col min="11275" max="11275" width="4" style="1634" customWidth="1"/>
    <col min="11276" max="11276" width="5.08984375" style="1634" customWidth="1"/>
    <col min="11277" max="11277" width="13.81640625" style="1634" customWidth="1"/>
    <col min="11278" max="11520" width="9" style="1634"/>
    <col min="11521" max="11521" width="4.90625" style="1634" customWidth="1"/>
    <col min="11522" max="11522" width="13.1796875" style="1634" customWidth="1"/>
    <col min="11523" max="11523" width="15.6328125" style="1634" customWidth="1"/>
    <col min="11524" max="11524" width="9.36328125" style="1634" bestFit="1" customWidth="1"/>
    <col min="11525" max="11525" width="13.453125" style="1634" customWidth="1"/>
    <col min="11526" max="11526" width="9" style="1634"/>
    <col min="11527" max="11527" width="9.36328125" style="1634" bestFit="1" customWidth="1"/>
    <col min="11528" max="11529" width="9" style="1634"/>
    <col min="11530" max="11530" width="9.36328125" style="1634" bestFit="1" customWidth="1"/>
    <col min="11531" max="11531" width="4" style="1634" customWidth="1"/>
    <col min="11532" max="11532" width="5.08984375" style="1634" customWidth="1"/>
    <col min="11533" max="11533" width="13.81640625" style="1634" customWidth="1"/>
    <col min="11534" max="11776" width="9" style="1634"/>
    <col min="11777" max="11777" width="4.90625" style="1634" customWidth="1"/>
    <col min="11778" max="11778" width="13.1796875" style="1634" customWidth="1"/>
    <col min="11779" max="11779" width="15.6328125" style="1634" customWidth="1"/>
    <col min="11780" max="11780" width="9.36328125" style="1634" bestFit="1" customWidth="1"/>
    <col min="11781" max="11781" width="13.453125" style="1634" customWidth="1"/>
    <col min="11782" max="11782" width="9" style="1634"/>
    <col min="11783" max="11783" width="9.36328125" style="1634" bestFit="1" customWidth="1"/>
    <col min="11784" max="11785" width="9" style="1634"/>
    <col min="11786" max="11786" width="9.36328125" style="1634" bestFit="1" customWidth="1"/>
    <col min="11787" max="11787" width="4" style="1634" customWidth="1"/>
    <col min="11788" max="11788" width="5.08984375" style="1634" customWidth="1"/>
    <col min="11789" max="11789" width="13.81640625" style="1634" customWidth="1"/>
    <col min="11790" max="12032" width="9" style="1634"/>
    <col min="12033" max="12033" width="4.90625" style="1634" customWidth="1"/>
    <col min="12034" max="12034" width="13.1796875" style="1634" customWidth="1"/>
    <col min="12035" max="12035" width="15.6328125" style="1634" customWidth="1"/>
    <col min="12036" max="12036" width="9.36328125" style="1634" bestFit="1" customWidth="1"/>
    <col min="12037" max="12037" width="13.453125" style="1634" customWidth="1"/>
    <col min="12038" max="12038" width="9" style="1634"/>
    <col min="12039" max="12039" width="9.36328125" style="1634" bestFit="1" customWidth="1"/>
    <col min="12040" max="12041" width="9" style="1634"/>
    <col min="12042" max="12042" width="9.36328125" style="1634" bestFit="1" customWidth="1"/>
    <col min="12043" max="12043" width="4" style="1634" customWidth="1"/>
    <col min="12044" max="12044" width="5.08984375" style="1634" customWidth="1"/>
    <col min="12045" max="12045" width="13.81640625" style="1634" customWidth="1"/>
    <col min="12046" max="12288" width="9" style="1634"/>
    <col min="12289" max="12289" width="4.90625" style="1634" customWidth="1"/>
    <col min="12290" max="12290" width="13.1796875" style="1634" customWidth="1"/>
    <col min="12291" max="12291" width="15.6328125" style="1634" customWidth="1"/>
    <col min="12292" max="12292" width="9.36328125" style="1634" bestFit="1" customWidth="1"/>
    <col min="12293" max="12293" width="13.453125" style="1634" customWidth="1"/>
    <col min="12294" max="12294" width="9" style="1634"/>
    <col min="12295" max="12295" width="9.36328125" style="1634" bestFit="1" customWidth="1"/>
    <col min="12296" max="12297" width="9" style="1634"/>
    <col min="12298" max="12298" width="9.36328125" style="1634" bestFit="1" customWidth="1"/>
    <col min="12299" max="12299" width="4" style="1634" customWidth="1"/>
    <col min="12300" max="12300" width="5.08984375" style="1634" customWidth="1"/>
    <col min="12301" max="12301" width="13.81640625" style="1634" customWidth="1"/>
    <col min="12302" max="12544" width="9" style="1634"/>
    <col min="12545" max="12545" width="4.90625" style="1634" customWidth="1"/>
    <col min="12546" max="12546" width="13.1796875" style="1634" customWidth="1"/>
    <col min="12547" max="12547" width="15.6328125" style="1634" customWidth="1"/>
    <col min="12548" max="12548" width="9.36328125" style="1634" bestFit="1" customWidth="1"/>
    <col min="12549" max="12549" width="13.453125" style="1634" customWidth="1"/>
    <col min="12550" max="12550" width="9" style="1634"/>
    <col min="12551" max="12551" width="9.36328125" style="1634" bestFit="1" customWidth="1"/>
    <col min="12552" max="12553" width="9" style="1634"/>
    <col min="12554" max="12554" width="9.36328125" style="1634" bestFit="1" customWidth="1"/>
    <col min="12555" max="12555" width="4" style="1634" customWidth="1"/>
    <col min="12556" max="12556" width="5.08984375" style="1634" customWidth="1"/>
    <col min="12557" max="12557" width="13.81640625" style="1634" customWidth="1"/>
    <col min="12558" max="12800" width="9" style="1634"/>
    <col min="12801" max="12801" width="4.90625" style="1634" customWidth="1"/>
    <col min="12802" max="12802" width="13.1796875" style="1634" customWidth="1"/>
    <col min="12803" max="12803" width="15.6328125" style="1634" customWidth="1"/>
    <col min="12804" max="12804" width="9.36328125" style="1634" bestFit="1" customWidth="1"/>
    <col min="12805" max="12805" width="13.453125" style="1634" customWidth="1"/>
    <col min="12806" max="12806" width="9" style="1634"/>
    <col min="12807" max="12807" width="9.36328125" style="1634" bestFit="1" customWidth="1"/>
    <col min="12808" max="12809" width="9" style="1634"/>
    <col min="12810" max="12810" width="9.36328125" style="1634" bestFit="1" customWidth="1"/>
    <col min="12811" max="12811" width="4" style="1634" customWidth="1"/>
    <col min="12812" max="12812" width="5.08984375" style="1634" customWidth="1"/>
    <col min="12813" max="12813" width="13.81640625" style="1634" customWidth="1"/>
    <col min="12814" max="13056" width="9" style="1634"/>
    <col min="13057" max="13057" width="4.90625" style="1634" customWidth="1"/>
    <col min="13058" max="13058" width="13.1796875" style="1634" customWidth="1"/>
    <col min="13059" max="13059" width="15.6328125" style="1634" customWidth="1"/>
    <col min="13060" max="13060" width="9.36328125" style="1634" bestFit="1" customWidth="1"/>
    <col min="13061" max="13061" width="13.453125" style="1634" customWidth="1"/>
    <col min="13062" max="13062" width="9" style="1634"/>
    <col min="13063" max="13063" width="9.36328125" style="1634" bestFit="1" customWidth="1"/>
    <col min="13064" max="13065" width="9" style="1634"/>
    <col min="13066" max="13066" width="9.36328125" style="1634" bestFit="1" customWidth="1"/>
    <col min="13067" max="13067" width="4" style="1634" customWidth="1"/>
    <col min="13068" max="13068" width="5.08984375" style="1634" customWidth="1"/>
    <col min="13069" max="13069" width="13.81640625" style="1634" customWidth="1"/>
    <col min="13070" max="13312" width="9" style="1634"/>
    <col min="13313" max="13313" width="4.90625" style="1634" customWidth="1"/>
    <col min="13314" max="13314" width="13.1796875" style="1634" customWidth="1"/>
    <col min="13315" max="13315" width="15.6328125" style="1634" customWidth="1"/>
    <col min="13316" max="13316" width="9.36328125" style="1634" bestFit="1" customWidth="1"/>
    <col min="13317" max="13317" width="13.453125" style="1634" customWidth="1"/>
    <col min="13318" max="13318" width="9" style="1634"/>
    <col min="13319" max="13319" width="9.36328125" style="1634" bestFit="1" customWidth="1"/>
    <col min="13320" max="13321" width="9" style="1634"/>
    <col min="13322" max="13322" width="9.36328125" style="1634" bestFit="1" customWidth="1"/>
    <col min="13323" max="13323" width="4" style="1634" customWidth="1"/>
    <col min="13324" max="13324" width="5.08984375" style="1634" customWidth="1"/>
    <col min="13325" max="13325" width="13.81640625" style="1634" customWidth="1"/>
    <col min="13326" max="13568" width="9" style="1634"/>
    <col min="13569" max="13569" width="4.90625" style="1634" customWidth="1"/>
    <col min="13570" max="13570" width="13.1796875" style="1634" customWidth="1"/>
    <col min="13571" max="13571" width="15.6328125" style="1634" customWidth="1"/>
    <col min="13572" max="13572" width="9.36328125" style="1634" bestFit="1" customWidth="1"/>
    <col min="13573" max="13573" width="13.453125" style="1634" customWidth="1"/>
    <col min="13574" max="13574" width="9" style="1634"/>
    <col min="13575" max="13575" width="9.36328125" style="1634" bestFit="1" customWidth="1"/>
    <col min="13576" max="13577" width="9" style="1634"/>
    <col min="13578" max="13578" width="9.36328125" style="1634" bestFit="1" customWidth="1"/>
    <col min="13579" max="13579" width="4" style="1634" customWidth="1"/>
    <col min="13580" max="13580" width="5.08984375" style="1634" customWidth="1"/>
    <col min="13581" max="13581" width="13.81640625" style="1634" customWidth="1"/>
    <col min="13582" max="13824" width="9" style="1634"/>
    <col min="13825" max="13825" width="4.90625" style="1634" customWidth="1"/>
    <col min="13826" max="13826" width="13.1796875" style="1634" customWidth="1"/>
    <col min="13827" max="13827" width="15.6328125" style="1634" customWidth="1"/>
    <col min="13828" max="13828" width="9.36328125" style="1634" bestFit="1" customWidth="1"/>
    <col min="13829" max="13829" width="13.453125" style="1634" customWidth="1"/>
    <col min="13830" max="13830" width="9" style="1634"/>
    <col min="13831" max="13831" width="9.36328125" style="1634" bestFit="1" customWidth="1"/>
    <col min="13832" max="13833" width="9" style="1634"/>
    <col min="13834" max="13834" width="9.36328125" style="1634" bestFit="1" customWidth="1"/>
    <col min="13835" max="13835" width="4" style="1634" customWidth="1"/>
    <col min="13836" max="13836" width="5.08984375" style="1634" customWidth="1"/>
    <col min="13837" max="13837" width="13.81640625" style="1634" customWidth="1"/>
    <col min="13838" max="14080" width="9" style="1634"/>
    <col min="14081" max="14081" width="4.90625" style="1634" customWidth="1"/>
    <col min="14082" max="14082" width="13.1796875" style="1634" customWidth="1"/>
    <col min="14083" max="14083" width="15.6328125" style="1634" customWidth="1"/>
    <col min="14084" max="14084" width="9.36328125" style="1634" bestFit="1" customWidth="1"/>
    <col min="14085" max="14085" width="13.453125" style="1634" customWidth="1"/>
    <col min="14086" max="14086" width="9" style="1634"/>
    <col min="14087" max="14087" width="9.36328125" style="1634" bestFit="1" customWidth="1"/>
    <col min="14088" max="14089" width="9" style="1634"/>
    <col min="14090" max="14090" width="9.36328125" style="1634" bestFit="1" customWidth="1"/>
    <col min="14091" max="14091" width="4" style="1634" customWidth="1"/>
    <col min="14092" max="14092" width="5.08984375" style="1634" customWidth="1"/>
    <col min="14093" max="14093" width="13.81640625" style="1634" customWidth="1"/>
    <col min="14094" max="14336" width="9" style="1634"/>
    <col min="14337" max="14337" width="4.90625" style="1634" customWidth="1"/>
    <col min="14338" max="14338" width="13.1796875" style="1634" customWidth="1"/>
    <col min="14339" max="14339" width="15.6328125" style="1634" customWidth="1"/>
    <col min="14340" max="14340" width="9.36328125" style="1634" bestFit="1" customWidth="1"/>
    <col min="14341" max="14341" width="13.453125" style="1634" customWidth="1"/>
    <col min="14342" max="14342" width="9" style="1634"/>
    <col min="14343" max="14343" width="9.36328125" style="1634" bestFit="1" customWidth="1"/>
    <col min="14344" max="14345" width="9" style="1634"/>
    <col min="14346" max="14346" width="9.36328125" style="1634" bestFit="1" customWidth="1"/>
    <col min="14347" max="14347" width="4" style="1634" customWidth="1"/>
    <col min="14348" max="14348" width="5.08984375" style="1634" customWidth="1"/>
    <col min="14349" max="14349" width="13.81640625" style="1634" customWidth="1"/>
    <col min="14350" max="14592" width="9" style="1634"/>
    <col min="14593" max="14593" width="4.90625" style="1634" customWidth="1"/>
    <col min="14594" max="14594" width="13.1796875" style="1634" customWidth="1"/>
    <col min="14595" max="14595" width="15.6328125" style="1634" customWidth="1"/>
    <col min="14596" max="14596" width="9.36328125" style="1634" bestFit="1" customWidth="1"/>
    <col min="14597" max="14597" width="13.453125" style="1634" customWidth="1"/>
    <col min="14598" max="14598" width="9" style="1634"/>
    <col min="14599" max="14599" width="9.36328125" style="1634" bestFit="1" customWidth="1"/>
    <col min="14600" max="14601" width="9" style="1634"/>
    <col min="14602" max="14602" width="9.36328125" style="1634" bestFit="1" customWidth="1"/>
    <col min="14603" max="14603" width="4" style="1634" customWidth="1"/>
    <col min="14604" max="14604" width="5.08984375" style="1634" customWidth="1"/>
    <col min="14605" max="14605" width="13.81640625" style="1634" customWidth="1"/>
    <col min="14606" max="14848" width="9" style="1634"/>
    <col min="14849" max="14849" width="4.90625" style="1634" customWidth="1"/>
    <col min="14850" max="14850" width="13.1796875" style="1634" customWidth="1"/>
    <col min="14851" max="14851" width="15.6328125" style="1634" customWidth="1"/>
    <col min="14852" max="14852" width="9.36328125" style="1634" bestFit="1" customWidth="1"/>
    <col min="14853" max="14853" width="13.453125" style="1634" customWidth="1"/>
    <col min="14854" max="14854" width="9" style="1634"/>
    <col min="14855" max="14855" width="9.36328125" style="1634" bestFit="1" customWidth="1"/>
    <col min="14856" max="14857" width="9" style="1634"/>
    <col min="14858" max="14858" width="9.36328125" style="1634" bestFit="1" customWidth="1"/>
    <col min="14859" max="14859" width="4" style="1634" customWidth="1"/>
    <col min="14860" max="14860" width="5.08984375" style="1634" customWidth="1"/>
    <col min="14861" max="14861" width="13.81640625" style="1634" customWidth="1"/>
    <col min="14862" max="15104" width="9" style="1634"/>
    <col min="15105" max="15105" width="4.90625" style="1634" customWidth="1"/>
    <col min="15106" max="15106" width="13.1796875" style="1634" customWidth="1"/>
    <col min="15107" max="15107" width="15.6328125" style="1634" customWidth="1"/>
    <col min="15108" max="15108" width="9.36328125" style="1634" bestFit="1" customWidth="1"/>
    <col min="15109" max="15109" width="13.453125" style="1634" customWidth="1"/>
    <col min="15110" max="15110" width="9" style="1634"/>
    <col min="15111" max="15111" width="9.36328125" style="1634" bestFit="1" customWidth="1"/>
    <col min="15112" max="15113" width="9" style="1634"/>
    <col min="15114" max="15114" width="9.36328125" style="1634" bestFit="1" customWidth="1"/>
    <col min="15115" max="15115" width="4" style="1634" customWidth="1"/>
    <col min="15116" max="15116" width="5.08984375" style="1634" customWidth="1"/>
    <col min="15117" max="15117" width="13.81640625" style="1634" customWidth="1"/>
    <col min="15118" max="15360" width="9" style="1634"/>
    <col min="15361" max="15361" width="4.90625" style="1634" customWidth="1"/>
    <col min="15362" max="15362" width="13.1796875" style="1634" customWidth="1"/>
    <col min="15363" max="15363" width="15.6328125" style="1634" customWidth="1"/>
    <col min="15364" max="15364" width="9.36328125" style="1634" bestFit="1" customWidth="1"/>
    <col min="15365" max="15365" width="13.453125" style="1634" customWidth="1"/>
    <col min="15366" max="15366" width="9" style="1634"/>
    <col min="15367" max="15367" width="9.36328125" style="1634" bestFit="1" customWidth="1"/>
    <col min="15368" max="15369" width="9" style="1634"/>
    <col min="15370" max="15370" width="9.36328125" style="1634" bestFit="1" customWidth="1"/>
    <col min="15371" max="15371" width="4" style="1634" customWidth="1"/>
    <col min="15372" max="15372" width="5.08984375" style="1634" customWidth="1"/>
    <col min="15373" max="15373" width="13.81640625" style="1634" customWidth="1"/>
    <col min="15374" max="15616" width="9" style="1634"/>
    <col min="15617" max="15617" width="4.90625" style="1634" customWidth="1"/>
    <col min="15618" max="15618" width="13.1796875" style="1634" customWidth="1"/>
    <col min="15619" max="15619" width="15.6328125" style="1634" customWidth="1"/>
    <col min="15620" max="15620" width="9.36328125" style="1634" bestFit="1" customWidth="1"/>
    <col min="15621" max="15621" width="13.453125" style="1634" customWidth="1"/>
    <col min="15622" max="15622" width="9" style="1634"/>
    <col min="15623" max="15623" width="9.36328125" style="1634" bestFit="1" customWidth="1"/>
    <col min="15624" max="15625" width="9" style="1634"/>
    <col min="15626" max="15626" width="9.36328125" style="1634" bestFit="1" customWidth="1"/>
    <col min="15627" max="15627" width="4" style="1634" customWidth="1"/>
    <col min="15628" max="15628" width="5.08984375" style="1634" customWidth="1"/>
    <col min="15629" max="15629" width="13.81640625" style="1634" customWidth="1"/>
    <col min="15630" max="15872" width="9" style="1634"/>
    <col min="15873" max="15873" width="4.90625" style="1634" customWidth="1"/>
    <col min="15874" max="15874" width="13.1796875" style="1634" customWidth="1"/>
    <col min="15875" max="15875" width="15.6328125" style="1634" customWidth="1"/>
    <col min="15876" max="15876" width="9.36328125" style="1634" bestFit="1" customWidth="1"/>
    <col min="15877" max="15877" width="13.453125" style="1634" customWidth="1"/>
    <col min="15878" max="15878" width="9" style="1634"/>
    <col min="15879" max="15879" width="9.36328125" style="1634" bestFit="1" customWidth="1"/>
    <col min="15880" max="15881" width="9" style="1634"/>
    <col min="15882" max="15882" width="9.36328125" style="1634" bestFit="1" customWidth="1"/>
    <col min="15883" max="15883" width="4" style="1634" customWidth="1"/>
    <col min="15884" max="15884" width="5.08984375" style="1634" customWidth="1"/>
    <col min="15885" max="15885" width="13.81640625" style="1634" customWidth="1"/>
    <col min="15886" max="16128" width="9" style="1634"/>
    <col min="16129" max="16129" width="4.90625" style="1634" customWidth="1"/>
    <col min="16130" max="16130" width="13.1796875" style="1634" customWidth="1"/>
    <col min="16131" max="16131" width="15.6328125" style="1634" customWidth="1"/>
    <col min="16132" max="16132" width="9.36328125" style="1634" bestFit="1" customWidth="1"/>
    <col min="16133" max="16133" width="13.453125" style="1634" customWidth="1"/>
    <col min="16134" max="16134" width="9" style="1634"/>
    <col min="16135" max="16135" width="9.36328125" style="1634" bestFit="1" customWidth="1"/>
    <col min="16136" max="16137" width="9" style="1634"/>
    <col min="16138" max="16138" width="9.36328125" style="1634" bestFit="1" customWidth="1"/>
    <col min="16139" max="16139" width="4" style="1634" customWidth="1"/>
    <col min="16140" max="16140" width="5.08984375" style="1634" customWidth="1"/>
    <col min="16141" max="16141" width="13.81640625" style="1634" customWidth="1"/>
    <col min="16142" max="16384" width="9" style="1634"/>
  </cols>
  <sheetData>
    <row r="1" spans="1:257" s="1698" customFormat="1" ht="14.5" thickBot="1">
      <c r="A1" s="1692"/>
      <c r="B1" s="1699" t="s">
        <v>1295</v>
      </c>
      <c r="C1" s="1693">
        <f>项目基本情况!D3</f>
        <v>43879</v>
      </c>
      <c r="D1" s="1699" t="s">
        <v>1296</v>
      </c>
      <c r="E1" s="1694">
        <f>'数据-取费表'!B22</f>
        <v>2.5</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1">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3">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0">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
  <sheetData>
    <row r="1" spans="1:13" ht="27">
      <c r="A1" s="1781" t="s">
        <v>1367</v>
      </c>
      <c r="E1" s="1775" t="s">
        <v>1371</v>
      </c>
      <c r="F1" s="1776" t="s">
        <v>1375</v>
      </c>
    </row>
    <row r="2" spans="1:13" ht="20">
      <c r="A2" s="1782" t="s">
        <v>1368</v>
      </c>
    </row>
    <row r="3" spans="1:13" ht="16.5">
      <c r="A3" s="1783" t="s">
        <v>1369</v>
      </c>
    </row>
    <row r="4" spans="1:13">
      <c r="A4" s="1773" t="s">
        <v>1370</v>
      </c>
      <c r="B4" s="1778" t="s">
        <v>1372</v>
      </c>
      <c r="C4" s="1779"/>
      <c r="D4" s="1780"/>
      <c r="E4" s="1778" t="s">
        <v>27</v>
      </c>
      <c r="F4" s="1779"/>
      <c r="G4" s="1780"/>
      <c r="H4" s="1778" t="s">
        <v>1373</v>
      </c>
      <c r="I4" s="1779"/>
      <c r="J4" s="1780"/>
      <c r="K4" s="1778" t="s">
        <v>6</v>
      </c>
      <c r="L4" s="1779"/>
      <c r="M4" s="1780"/>
    </row>
    <row r="5" spans="1:13">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943" customWidth="1"/>
    <col min="2" max="9" width="12.08984375" style="1943" customWidth="1"/>
    <col min="10" max="16384" width="9" style="1943"/>
  </cols>
  <sheetData>
    <row r="1" spans="1:9" ht="18.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1635</v>
      </c>
      <c r="B2" s="3001" t="s">
        <v>1636</v>
      </c>
      <c r="C2" s="3001" t="s">
        <v>1637</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6">
      <c r="A3" s="2995"/>
      <c r="B3" s="2995"/>
      <c r="C3" s="2995"/>
      <c r="D3" s="1044" t="s">
        <v>1632</v>
      </c>
      <c r="E3" s="1044" t="s">
        <v>1638</v>
      </c>
      <c r="F3" s="1044" t="s">
        <v>1632</v>
      </c>
      <c r="G3" s="1044" t="s">
        <v>1633</v>
      </c>
      <c r="H3" s="1044" t="s">
        <v>1632</v>
      </c>
      <c r="I3" s="1044" t="s">
        <v>1633</v>
      </c>
    </row>
    <row r="4" spans="1:9" ht="31">
      <c r="A4" s="1971" t="str">
        <f>项目基本情况!S2</f>
        <v>出让国有建设用地使用权及在建建筑物房地产</v>
      </c>
      <c r="B4" s="1044">
        <f>项目基本情况!C17</f>
        <v>127439.59000000001</v>
      </c>
      <c r="C4" s="1044">
        <f>项目基本情况!C18</f>
        <v>29206.66</v>
      </c>
      <c r="D4" s="1044">
        <f ca="1">结果表!D118</f>
        <v>107434</v>
      </c>
      <c r="E4" s="1044">
        <f ca="1">结果表!E118</f>
        <v>8430</v>
      </c>
      <c r="F4" s="1044">
        <f ca="1">结果表!F118</f>
        <v>74658</v>
      </c>
      <c r="G4" s="1044">
        <f ca="1">结果表!G118</f>
        <v>5858</v>
      </c>
      <c r="H4" s="1044">
        <f ca="1">结果表!H118</f>
        <v>182092</v>
      </c>
      <c r="I4" s="1044">
        <f ca="1">结果表!I118</f>
        <v>14288</v>
      </c>
    </row>
    <row r="5" spans="1:9" ht="30" customHeight="1">
      <c r="A5" s="2995" t="s">
        <v>1634</v>
      </c>
      <c r="B5" s="2995"/>
      <c r="C5" s="2995"/>
      <c r="D5" s="2996" t="str">
        <f ca="1">结果表!D119</f>
        <v>壹拾亿柒仟肆佰叁拾肆万元整</v>
      </c>
      <c r="E5" s="2996"/>
      <c r="F5" s="2996" t="str">
        <f ca="1">结果表!F119</f>
        <v>柒亿肆仟陆佰伍拾捌万元整</v>
      </c>
      <c r="G5" s="2996"/>
      <c r="H5" s="2996" t="str">
        <f ca="1">结果表!H119</f>
        <v>壹拾捌亿贰仟零玖拾贰万元整</v>
      </c>
      <c r="I5" s="2996"/>
    </row>
    <row r="6" spans="1:9" ht="15.5">
      <c r="A6" s="2994" t="str">
        <f>结果表!A120</f>
        <v>估价师知悉的法定优先受偿款</v>
      </c>
      <c r="B6" s="2994"/>
      <c r="C6" s="2994"/>
      <c r="D6" s="2994">
        <f>结果表!D120</f>
        <v>0</v>
      </c>
      <c r="E6" s="2994"/>
      <c r="F6" s="2994"/>
      <c r="G6" s="2994"/>
      <c r="H6" s="2994"/>
      <c r="I6" s="2994"/>
    </row>
    <row r="7" spans="1:9" ht="15.5">
      <c r="A7" s="2995" t="s">
        <v>1634</v>
      </c>
      <c r="B7" s="2995"/>
      <c r="C7" s="2995"/>
      <c r="D7" s="2997" t="str">
        <f>结果表!D121</f>
        <v>零元整</v>
      </c>
      <c r="E7" s="2998"/>
      <c r="F7" s="2998"/>
      <c r="G7" s="2998"/>
      <c r="H7" s="2998"/>
      <c r="I7" s="2999"/>
    </row>
    <row r="8" spans="1:9" ht="15.5">
      <c r="A8" s="2994" t="str">
        <f>结果表!A122</f>
        <v>房地产抵押价值</v>
      </c>
      <c r="B8" s="2994"/>
      <c r="C8" s="2994"/>
      <c r="D8" s="2994">
        <f ca="1">结果表!D122</f>
        <v>182092</v>
      </c>
      <c r="E8" s="2994"/>
      <c r="F8" s="2994"/>
      <c r="G8" s="2994"/>
      <c r="H8" s="2994"/>
      <c r="I8" s="2994"/>
    </row>
    <row r="9" spans="1:9" ht="15.5">
      <c r="A9" s="2995" t="s">
        <v>1634</v>
      </c>
      <c r="B9" s="2995"/>
      <c r="C9" s="2995"/>
      <c r="D9" s="2996" t="str">
        <f ca="1">结果表!D123</f>
        <v>壹拾捌亿贰仟零玖拾贰万元整</v>
      </c>
      <c r="E9" s="2996"/>
      <c r="F9" s="2996"/>
      <c r="G9" s="2996"/>
      <c r="H9" s="2996"/>
      <c r="I9" s="2996"/>
    </row>
    <row r="10" spans="1:9" ht="15.5">
      <c r="A10" s="2994" t="str">
        <f>结果表!A124</f>
        <v/>
      </c>
      <c r="B10" s="2994"/>
      <c r="C10" s="2994"/>
      <c r="D10" s="2994" t="str">
        <f>结果表!D124</f>
        <v>——</v>
      </c>
      <c r="E10" s="2994"/>
      <c r="F10" s="2994"/>
      <c r="G10" s="2994"/>
      <c r="H10" s="2994"/>
      <c r="I10" s="2994"/>
    </row>
    <row r="11" spans="1:9" ht="15.5">
      <c r="A11" s="2995" t="s">
        <v>1634</v>
      </c>
      <c r="B11" s="2995"/>
      <c r="C11" s="2995"/>
      <c r="D11" s="2996" t="e">
        <f>结果表!D125</f>
        <v>#VALUE!</v>
      </c>
      <c r="E11" s="2996"/>
      <c r="F11" s="2996"/>
      <c r="G11" s="2996"/>
      <c r="H11" s="2996"/>
      <c r="I11" s="2996"/>
    </row>
    <row r="12" spans="1:9" ht="15.5">
      <c r="A12" s="2994" t="str">
        <f>结果表!A126</f>
        <v>抵押净值</v>
      </c>
      <c r="B12" s="2994"/>
      <c r="C12" s="2994"/>
      <c r="D12" s="2994">
        <f ca="1">结果表!D126</f>
        <v>140820</v>
      </c>
      <c r="E12" s="2994"/>
      <c r="F12" s="2994"/>
      <c r="G12" s="2994"/>
      <c r="H12" s="2994"/>
      <c r="I12" s="2994"/>
    </row>
    <row r="13" spans="1:9" ht="16" thickBot="1">
      <c r="A13" s="2991" t="s">
        <v>1634</v>
      </c>
      <c r="B13" s="2991"/>
      <c r="C13" s="2991"/>
      <c r="D13" s="2992" t="str">
        <f ca="1">结果表!D127</f>
        <v>壹拾肆亿零捌佰贰拾万元整</v>
      </c>
      <c r="E13" s="2992"/>
      <c r="F13" s="2992"/>
      <c r="G13" s="2992"/>
      <c r="H13" s="2992"/>
      <c r="I13" s="2992"/>
    </row>
    <row r="14" spans="1:9" ht="14.5" thickTop="1">
      <c r="A14" s="2993" t="s">
        <v>1639</v>
      </c>
      <c r="B14" s="2993"/>
      <c r="C14" s="2993"/>
      <c r="D14" s="2993"/>
      <c r="E14" s="2993"/>
      <c r="F14" s="2993"/>
      <c r="G14" s="2993"/>
      <c r="H14" s="2993"/>
      <c r="I14" s="2993"/>
    </row>
    <row r="16" spans="1:9" ht="1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943" customWidth="1"/>
    <col min="2" max="3" width="22.36328125" style="1943" customWidth="1"/>
    <col min="4" max="4" width="23" style="1943" customWidth="1"/>
    <col min="5" max="16384" width="9" style="1943"/>
  </cols>
  <sheetData>
    <row r="1" spans="1:4" ht="18">
      <c r="A1" s="3008" t="s">
        <v>1656</v>
      </c>
      <c r="B1" s="3008"/>
      <c r="C1" s="3008"/>
      <c r="D1" s="3008"/>
    </row>
    <row r="2" spans="1:4" ht="18">
      <c r="A2" s="3009" t="s">
        <v>1640</v>
      </c>
      <c r="B2" s="3009"/>
      <c r="C2" s="3009"/>
      <c r="D2" s="3009"/>
    </row>
    <row r="3" spans="1:4" ht="1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009" t="s">
        <v>1646</v>
      </c>
      <c r="B6" s="3009"/>
      <c r="C6" s="3009"/>
      <c r="D6" s="3009"/>
    </row>
    <row r="7" spans="1:4" ht="1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
      <c r="A10" s="1982" t="s">
        <v>1648</v>
      </c>
      <c r="B10" s="728"/>
      <c r="C10" s="728"/>
      <c r="D10" s="728"/>
    </row>
    <row r="11" spans="1:4" ht="30" customHeight="1">
      <c r="A11" s="3010" t="s">
        <v>1649</v>
      </c>
      <c r="B11" s="3002"/>
      <c r="C11" s="3002"/>
      <c r="D11" s="3002"/>
    </row>
    <row r="12" spans="1:4" ht="15.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2" t="str">
        <f>IF(项目基本情况!B8="抵押","4.本次评估估价师所知悉的法定优先受偿款情况说明如下：","——")</f>
        <v>4.本次评估估价师所知悉的法定优先受偿款情况说明如下：</v>
      </c>
      <c r="B14" s="3007"/>
      <c r="C14" s="3007"/>
      <c r="D14" s="3007"/>
    </row>
    <row r="15" spans="1:4" ht="42" customHeight="1">
      <c r="A15" s="30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4" t="s">
        <v>1650</v>
      </c>
      <c r="B16" s="3004"/>
      <c r="C16" s="3004"/>
      <c r="D16" s="3004"/>
    </row>
    <row r="17" spans="1:4" ht="144" customHeight="1">
      <c r="A17" s="3004" t="s">
        <v>1651</v>
      </c>
      <c r="B17" s="3004"/>
      <c r="C17" s="3004"/>
      <c r="D17" s="3004"/>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2"/>
      <c r="C20" s="3002"/>
      <c r="D20" s="3002"/>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1652</v>
      </c>
      <c r="B22" s="3006"/>
      <c r="C22" s="3006"/>
      <c r="D22" s="3006"/>
    </row>
    <row r="23" spans="1:4">
      <c r="A23" s="1983"/>
      <c r="B23" s="1955"/>
      <c r="C23" s="1955"/>
      <c r="D23" s="1955"/>
    </row>
    <row r="24" spans="1:4">
      <c r="A24" s="1983"/>
      <c r="B24" s="1955"/>
      <c r="C24" s="1955"/>
      <c r="D24" s="1955"/>
    </row>
    <row r="25" spans="1:4" ht="17.5">
      <c r="A25" s="1984" t="s">
        <v>1653</v>
      </c>
    </row>
    <row r="26" spans="1:4" ht="17.5">
      <c r="A26" s="1953"/>
    </row>
    <row r="27" spans="1:4" ht="17.5">
      <c r="A27" s="1953" t="s">
        <v>1654</v>
      </c>
    </row>
    <row r="30" spans="1:4" ht="17.5">
      <c r="D30" s="1984" t="s">
        <v>1655</v>
      </c>
    </row>
    <row r="31" spans="1:4" ht="13.5" customHeight="1">
      <c r="C31" s="3003">
        <v>42551</v>
      </c>
      <c r="D31" s="30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941" customWidth="1"/>
    <col min="3" max="10" width="12.453125" style="1941" customWidth="1"/>
    <col min="11" max="16384" width="9" style="1941"/>
  </cols>
  <sheetData>
    <row r="1" spans="1:10" ht="17.5">
      <c r="A1" s="1974" t="s">
        <v>866</v>
      </c>
      <c r="B1" s="1985"/>
      <c r="C1" s="1985"/>
      <c r="D1" s="1985"/>
      <c r="E1" s="1985"/>
      <c r="F1" s="1985"/>
      <c r="G1" s="1985"/>
      <c r="H1" s="1985"/>
      <c r="I1" s="1985"/>
      <c r="J1" s="1985"/>
    </row>
    <row r="2" spans="1:10" ht="1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53125" defaultRowHeight="15"/>
  <cols>
    <col min="1" max="1" width="14.453125" style="1991" customWidth="1"/>
    <col min="2" max="16384" width="14.453125" style="1973"/>
  </cols>
  <sheetData>
    <row r="1" spans="1:7" s="1988" customFormat="1" ht="1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4">
      <c r="A15" s="3016" t="s">
        <v>1663</v>
      </c>
      <c r="B15" s="3011" t="s">
        <v>136</v>
      </c>
      <c r="C15" s="3012"/>
    </row>
    <row r="16" spans="1:7" ht="14">
      <c r="A16" s="3017"/>
      <c r="B16" s="3011" t="s">
        <v>69</v>
      </c>
      <c r="C16" s="3012"/>
    </row>
    <row r="17" spans="1:3" ht="14">
      <c r="A17" s="3017"/>
      <c r="B17" s="3014" t="s">
        <v>1664</v>
      </c>
      <c r="C17" s="1998" t="s">
        <v>1663</v>
      </c>
    </row>
    <row r="18" spans="1:3" ht="14">
      <c r="A18" s="3017"/>
      <c r="B18" s="3014"/>
      <c r="C18" s="1998" t="s">
        <v>1665</v>
      </c>
    </row>
    <row r="19" spans="1:3" ht="14">
      <c r="A19" s="3017"/>
      <c r="B19" s="3014"/>
      <c r="C19" s="1998" t="s">
        <v>1666</v>
      </c>
    </row>
    <row r="20" spans="1:3" ht="14">
      <c r="A20" s="3018"/>
      <c r="B20" s="3013" t="s">
        <v>1667</v>
      </c>
      <c r="C20" s="3012"/>
    </row>
    <row r="21" spans="1:3" ht="14">
      <c r="A21" s="1999" t="s">
        <v>1668</v>
      </c>
      <c r="B21" s="2000"/>
      <c r="C21" s="2001"/>
    </row>
    <row r="22" spans="1:3" ht="14">
      <c r="A22" s="3015" t="s">
        <v>1669</v>
      </c>
      <c r="B22" s="3013" t="s">
        <v>1670</v>
      </c>
      <c r="C22" s="3012"/>
    </row>
    <row r="23" spans="1:3" ht="14">
      <c r="A23" s="3015"/>
      <c r="B23" s="3013" t="s">
        <v>1671</v>
      </c>
      <c r="C23" s="3012"/>
    </row>
    <row r="24" spans="1:3" ht="14">
      <c r="A24" s="3015"/>
      <c r="B24" s="3013" t="s">
        <v>1672</v>
      </c>
      <c r="C24" s="3012"/>
    </row>
    <row r="25" spans="1:3" ht="14">
      <c r="A25" s="3015"/>
      <c r="B25" s="3014" t="s">
        <v>1673</v>
      </c>
      <c r="C25" s="1998" t="s">
        <v>1674</v>
      </c>
    </row>
    <row r="26" spans="1:3" ht="14">
      <c r="A26" s="3015"/>
      <c r="B26" s="3014"/>
      <c r="C26" s="1998" t="s">
        <v>1675</v>
      </c>
    </row>
    <row r="27" spans="1:3" ht="14">
      <c r="A27" s="3015"/>
      <c r="B27" s="3014"/>
      <c r="C27" s="1998" t="s">
        <v>1676</v>
      </c>
    </row>
    <row r="28" spans="1:3" ht="14">
      <c r="A28" s="3015"/>
      <c r="B28" s="3014"/>
      <c r="C28" s="1998" t="s">
        <v>1677</v>
      </c>
    </row>
    <row r="29" spans="1:3" ht="14">
      <c r="A29" s="3015"/>
      <c r="B29" s="3014"/>
      <c r="C29" s="1998" t="s">
        <v>1678</v>
      </c>
    </row>
    <row r="30" spans="1:3" ht="14">
      <c r="A30" s="3015"/>
      <c r="B30" s="3014"/>
      <c r="C30" s="1998" t="s">
        <v>1679</v>
      </c>
    </row>
    <row r="31" spans="1:3" ht="14">
      <c r="A31" s="3015"/>
      <c r="B31" s="3014"/>
      <c r="C31" s="1998" t="s">
        <v>1680</v>
      </c>
    </row>
    <row r="32" spans="1:3" ht="14">
      <c r="A32" s="3015"/>
      <c r="B32" s="3014"/>
      <c r="C32" s="1998" t="s">
        <v>1681</v>
      </c>
    </row>
    <row r="33" spans="1:3" ht="14">
      <c r="A33" s="3015"/>
      <c r="B33" s="3014"/>
      <c r="C33" s="1998" t="s">
        <v>1682</v>
      </c>
    </row>
    <row r="34" spans="1:3">
      <c r="A34" s="2002" t="s">
        <v>76</v>
      </c>
    </row>
    <row r="37" spans="1:3">
      <c r="A37" s="2002" t="s">
        <v>1683</v>
      </c>
    </row>
    <row r="38" spans="1:3" ht="14">
      <c r="A38" s="2003" t="s">
        <v>77</v>
      </c>
    </row>
    <row r="39" spans="1:3" ht="14">
      <c r="A39" s="2003" t="s">
        <v>78</v>
      </c>
    </row>
    <row r="40" spans="1:3" ht="14">
      <c r="A40" s="2003" t="s">
        <v>79</v>
      </c>
    </row>
    <row r="41" spans="1:3" ht="14">
      <c r="A41" s="2004" t="s">
        <v>80</v>
      </c>
    </row>
    <row r="42" spans="1:3" ht="1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328125" defaultRowHeight="24" customHeight="1"/>
  <cols>
    <col min="1" max="2" width="22.6328125" style="1015"/>
    <col min="3" max="3" width="32.1796875" style="1015" customWidth="1"/>
    <col min="4" max="5" width="22.6328125" style="1015"/>
    <col min="6" max="6" width="25.6328125" style="1015" customWidth="1"/>
    <col min="7" max="16384" width="22.6328125" style="1015"/>
  </cols>
  <sheetData>
    <row r="2" spans="1:6" ht="24" customHeight="1">
      <c r="A2" s="1017" t="s">
        <v>825</v>
      </c>
      <c r="B2" s="1018">
        <f ca="1">TODAY()</f>
        <v>43885</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t="str">
        <f ca="1">IF(C4&lt;B2,"已过期",1119970066)</f>
        <v>已过期</v>
      </c>
      <c r="C4" s="2346">
        <v>43849</v>
      </c>
      <c r="D4" s="2349" t="s">
        <v>832</v>
      </c>
      <c r="E4" s="1022">
        <f ca="1">IF(F4&lt;B2,"已过期",96010014)</f>
        <v>96010014</v>
      </c>
      <c r="F4" s="1030">
        <v>47118</v>
      </c>
    </row>
    <row r="5" spans="1:6" ht="24" customHeight="1">
      <c r="A5" s="1701"/>
      <c r="B5" s="1022"/>
      <c r="C5" s="2346"/>
      <c r="D5" s="2349"/>
      <c r="E5" s="1022"/>
      <c r="F5" s="1030"/>
    </row>
    <row r="6" spans="1:6" ht="24" customHeight="1">
      <c r="A6" s="1701" t="s">
        <v>833</v>
      </c>
      <c r="B6" s="1022">
        <f ca="1">IF(C6&lt;B2,"已过期",1119970111)</f>
        <v>1119970111</v>
      </c>
      <c r="C6" s="2346">
        <v>44876</v>
      </c>
      <c r="D6" s="2349" t="s">
        <v>833</v>
      </c>
      <c r="E6" s="1022">
        <f ca="1">IF(F6&lt;B2,"已过期",94010078)</f>
        <v>94010078</v>
      </c>
      <c r="F6" s="1030">
        <v>46387</v>
      </c>
    </row>
    <row r="7" spans="1:6" ht="24" customHeight="1">
      <c r="A7" s="1701" t="s">
        <v>834</v>
      </c>
      <c r="B7" s="1022">
        <f ca="1">IF(C7&lt;B2,"已过期",1120050019)</f>
        <v>1120050019</v>
      </c>
      <c r="C7" s="2346">
        <v>44395</v>
      </c>
      <c r="D7" s="2349" t="s">
        <v>834</v>
      </c>
      <c r="E7" s="1022">
        <f ca="1">IF(F7&lt;B2,"已过期",2002110030)</f>
        <v>2002110030</v>
      </c>
      <c r="F7" s="1030">
        <v>46387</v>
      </c>
    </row>
    <row r="8" spans="1:6" ht="24" customHeight="1">
      <c r="A8" s="1701" t="s">
        <v>835</v>
      </c>
      <c r="B8" s="1022" t="str">
        <f ca="1">IF(C8&lt;B2,"已过期",1120000080)</f>
        <v>已过期</v>
      </c>
      <c r="C8" s="2346">
        <v>43849</v>
      </c>
      <c r="D8" s="2349" t="s">
        <v>835</v>
      </c>
      <c r="E8" s="1022">
        <f ca="1">IF(F8&lt;B2,"已过期",2000110082)</f>
        <v>2000110082</v>
      </c>
      <c r="F8" s="1030">
        <v>46387</v>
      </c>
    </row>
    <row r="9" spans="1:6" ht="24" customHeight="1">
      <c r="A9" s="1701" t="s">
        <v>836</v>
      </c>
      <c r="B9" s="1022" t="str">
        <f ca="1">IF(C9&lt;B2,"已过期",1419970001)</f>
        <v>已过期</v>
      </c>
      <c r="C9" s="2346">
        <v>43867</v>
      </c>
      <c r="D9" s="2349" t="s">
        <v>836</v>
      </c>
      <c r="E9" s="1022">
        <f ca="1">IF(F9&lt;B2,"已过期",2002110125)</f>
        <v>2002110125</v>
      </c>
      <c r="F9" s="1030">
        <v>47118</v>
      </c>
    </row>
    <row r="10" spans="1:6" ht="24" customHeight="1">
      <c r="A10" s="1701" t="s">
        <v>837</v>
      </c>
      <c r="B10" s="1022">
        <f ca="1">IF(C10&lt;B2,"已过期",1120060040)</f>
        <v>1120060040</v>
      </c>
      <c r="C10" s="2346">
        <v>44554</v>
      </c>
      <c r="D10" s="2349" t="s">
        <v>837</v>
      </c>
      <c r="E10" s="1022">
        <f ca="1">IF(F10&lt;B2,"已过期",2004110096)</f>
        <v>2004110096</v>
      </c>
      <c r="F10" s="1030">
        <v>47118</v>
      </c>
    </row>
    <row r="11" spans="1:6" ht="24" customHeight="1">
      <c r="A11" s="1701" t="s">
        <v>838</v>
      </c>
      <c r="B11" s="1022">
        <f ca="1">IF(C11&lt;B2,"已过期",1120100036)</f>
        <v>1120100036</v>
      </c>
      <c r="C11" s="2346">
        <v>44675</v>
      </c>
      <c r="D11" s="2349"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6">
        <v>44849</v>
      </c>
      <c r="D13" s="2349" t="s">
        <v>839</v>
      </c>
      <c r="E13" s="1022">
        <f ca="1">IF(F13&lt;B2,"已过期",2014110011)</f>
        <v>2014110011</v>
      </c>
      <c r="F13" s="1030">
        <v>49302</v>
      </c>
    </row>
    <row r="14" spans="1:6" ht="24" customHeight="1">
      <c r="A14" s="1701" t="s">
        <v>3040</v>
      </c>
      <c r="B14" s="1022">
        <f ca="1">IF(C14&lt;B2,"已过期",1120040230)</f>
        <v>1120040230</v>
      </c>
      <c r="C14" s="2346">
        <v>44864</v>
      </c>
      <c r="D14" s="2349" t="s">
        <v>3040</v>
      </c>
      <c r="E14" s="1022">
        <f ca="1">IF(F14&lt;B2,"已过期",98030020)</f>
        <v>98030020</v>
      </c>
      <c r="F14" s="1030">
        <v>47118</v>
      </c>
    </row>
    <row r="15" spans="1:6" ht="24" customHeight="1">
      <c r="A15" s="1702"/>
      <c r="B15" s="1022"/>
      <c r="C15" s="2346"/>
      <c r="D15" s="2350"/>
      <c r="E15" s="1022"/>
      <c r="F15" s="1023"/>
    </row>
    <row r="16" spans="1:6" ht="24" customHeight="1">
      <c r="A16" s="1701"/>
      <c r="B16" s="1022"/>
      <c r="C16" s="2928"/>
      <c r="D16" s="2349"/>
      <c r="E16" s="1022"/>
      <c r="F16" s="1030"/>
    </row>
    <row r="17" spans="1:7" ht="24" customHeight="1">
      <c r="A17" s="1701"/>
      <c r="B17" s="1022"/>
      <c r="C17" s="2346"/>
      <c r="D17" s="2349"/>
      <c r="E17" s="1022"/>
      <c r="F17" s="1030"/>
    </row>
    <row r="18" spans="1:7" ht="24" customHeight="1">
      <c r="A18" s="1701" t="s">
        <v>3047</v>
      </c>
      <c r="B18" s="1022">
        <v>1120190079</v>
      </c>
      <c r="C18" s="2928">
        <v>44826</v>
      </c>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840</v>
      </c>
      <c r="E21" s="1022">
        <f ca="1">IF(F21&lt;B2,"已过期",2011110090)</f>
        <v>2011110090</v>
      </c>
      <c r="F21" s="1030">
        <v>48302</v>
      </c>
    </row>
    <row r="22" spans="1:7" ht="24" customHeight="1">
      <c r="A22" s="1701" t="s">
        <v>841</v>
      </c>
      <c r="B22" s="1022">
        <f ca="1">IF(C22&lt;B2,"已过期",1120020033)</f>
        <v>1120020033</v>
      </c>
      <c r="C22" s="2928">
        <v>44339</v>
      </c>
      <c r="D22" s="2349" t="s">
        <v>841</v>
      </c>
      <c r="E22" s="1022">
        <f ca="1">IF(F22&lt;B2,"已过期",2000110137)</f>
        <v>2000110137</v>
      </c>
      <c r="F22" s="1030">
        <v>46387</v>
      </c>
    </row>
    <row r="23" spans="1:7" ht="24" customHeight="1">
      <c r="A23" s="1701" t="s">
        <v>3049</v>
      </c>
      <c r="B23" s="1022">
        <v>1119980106</v>
      </c>
      <c r="C23" s="2346">
        <v>43916</v>
      </c>
      <c r="D23" s="2349"/>
      <c r="E23" s="1022"/>
      <c r="F23" s="1022"/>
    </row>
    <row r="24" spans="1:7" s="1024" customFormat="1" ht="24" customHeight="1">
      <c r="A24" s="1702" t="s">
        <v>1328</v>
      </c>
      <c r="B24" s="1702" t="s">
        <v>1328</v>
      </c>
      <c r="C24" s="2347" t="s">
        <v>1328</v>
      </c>
      <c r="D24" s="2350" t="s">
        <v>1328</v>
      </c>
      <c r="E24" s="1702" t="s">
        <v>1328</v>
      </c>
      <c r="F24" s="1702" t="s">
        <v>1328</v>
      </c>
    </row>
    <row r="25" spans="1:7" ht="24" customHeight="1">
      <c r="A25" s="3019" t="s">
        <v>842</v>
      </c>
      <c r="B25" s="3019"/>
      <c r="C25" s="3019"/>
      <c r="D25" s="3019"/>
      <c r="E25" s="3019"/>
      <c r="F25" s="3019"/>
      <c r="G25" s="3019"/>
    </row>
    <row r="26" spans="1:7" s="1025" customFormat="1" ht="24" customHeight="1">
      <c r="A26" s="3020" t="s">
        <v>843</v>
      </c>
      <c r="B26" s="3020"/>
      <c r="C26" s="3021"/>
      <c r="D26" s="3022" t="s">
        <v>844</v>
      </c>
      <c r="E26" s="3020"/>
      <c r="F26" s="3020"/>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3048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6" priority="97" stopIfTrue="1" operator="lessThan">
      <formula>$B$2</formula>
    </cfRule>
  </conditionalFormatting>
  <conditionalFormatting sqref="C5">
    <cfRule type="expression" dxfId="215" priority="92">
      <formula>AND($C5-TODAY()&lt;30,TODAY()&lt;$C5)</formula>
    </cfRule>
  </conditionalFormatting>
  <conditionalFormatting sqref="C5 F5">
    <cfRule type="cellIs" dxfId="214" priority="93" stopIfTrue="1" operator="lessThan">
      <formula>$B$2</formula>
    </cfRule>
  </conditionalFormatting>
  <conditionalFormatting sqref="F6 F8 F10">
    <cfRule type="cellIs" dxfId="213" priority="91" stopIfTrue="1" operator="lessThan">
      <formula>$B$2</formula>
    </cfRule>
  </conditionalFormatting>
  <conditionalFormatting sqref="C4:C11 C13 C23 C17 C19:C21">
    <cfRule type="expression" dxfId="212" priority="89">
      <formula>AND($C4-TODAY()&lt;30,TODAY()&lt;$C4)</formula>
    </cfRule>
  </conditionalFormatting>
  <conditionalFormatting sqref="F7 F9 F11 C4:C11 C13 C23 C17 C19:C21">
    <cfRule type="cellIs" dxfId="211" priority="90" stopIfTrue="1" operator="lessThan">
      <formula>$B$2</formula>
    </cfRule>
  </conditionalFormatting>
  <conditionalFormatting sqref="C20">
    <cfRule type="expression" dxfId="210" priority="77">
      <formula>AND($C20-TODAY()&lt;30,TODAY()&lt;$C20)</formula>
    </cfRule>
  </conditionalFormatting>
  <conditionalFormatting sqref="C20">
    <cfRule type="cellIs" dxfId="209" priority="78" stopIfTrue="1" operator="lessThan">
      <formula>$B$2</formula>
    </cfRule>
  </conditionalFormatting>
  <conditionalFormatting sqref="C17">
    <cfRule type="expression" dxfId="208" priority="71">
      <formula>AND($C17-TODAY()&lt;30,TODAY()&lt;$C17)</formula>
    </cfRule>
  </conditionalFormatting>
  <conditionalFormatting sqref="C17">
    <cfRule type="cellIs" dxfId="207" priority="72" stopIfTrue="1" operator="lessThan">
      <formula>$B$2</formula>
    </cfRule>
  </conditionalFormatting>
  <conditionalFormatting sqref="C19">
    <cfRule type="expression" dxfId="206" priority="69">
      <formula>AND($C19-TODAY()&lt;30,TODAY()&lt;$C19)</formula>
    </cfRule>
  </conditionalFormatting>
  <conditionalFormatting sqref="C19">
    <cfRule type="cellIs" dxfId="205" priority="70" stopIfTrue="1" operator="lessThan">
      <formula>$B$2</formula>
    </cfRule>
  </conditionalFormatting>
  <conditionalFormatting sqref="C21">
    <cfRule type="expression" dxfId="204" priority="67">
      <formula>AND($C21-TODAY()&lt;30,TODAY()&lt;$C21)</formula>
    </cfRule>
  </conditionalFormatting>
  <conditionalFormatting sqref="C21">
    <cfRule type="cellIs" dxfId="203" priority="68" stopIfTrue="1" operator="lessThan">
      <formula>$B$2</formula>
    </cfRule>
  </conditionalFormatting>
  <conditionalFormatting sqref="C23">
    <cfRule type="expression" dxfId="202" priority="65">
      <formula>AND($C23-TODAY()&lt;30,TODAY()&lt;$C23)</formula>
    </cfRule>
  </conditionalFormatting>
  <conditionalFormatting sqref="C23">
    <cfRule type="cellIs" dxfId="201" priority="66" stopIfTrue="1" operator="lessThan">
      <formula>$B$2</formula>
    </cfRule>
  </conditionalFormatting>
  <conditionalFormatting sqref="F18">
    <cfRule type="cellIs" dxfId="200" priority="62" stopIfTrue="1" operator="lessThan">
      <formula>$B$2</formula>
    </cfRule>
  </conditionalFormatting>
  <conditionalFormatting sqref="F22">
    <cfRule type="cellIs" dxfId="199" priority="61" stopIfTrue="1" operator="lessThan">
      <formula>$B$2</formula>
    </cfRule>
  </conditionalFormatting>
  <conditionalFormatting sqref="F21">
    <cfRule type="cellIs" dxfId="198" priority="60" stopIfTrue="1" operator="lessThan">
      <formula>$B$2</formula>
    </cfRule>
  </conditionalFormatting>
  <conditionalFormatting sqref="B4:B11 E4:E11 B17 E18:E23 B13 E13 B19:B23">
    <cfRule type="cellIs" dxfId="197" priority="58" stopIfTrue="1" operator="equal">
      <formula>"已过期"</formula>
    </cfRule>
  </conditionalFormatting>
  <conditionalFormatting sqref="A24:F24">
    <cfRule type="cellIs" dxfId="196" priority="54" stopIfTrue="1" operator="equal">
      <formula>"已过期"</formula>
    </cfRule>
  </conditionalFormatting>
  <conditionalFormatting sqref="F28">
    <cfRule type="expression" dxfId="195" priority="52">
      <formula>AND($E28-TODAY()&lt;30,TODAY()&lt;$E28)</formula>
    </cfRule>
  </conditionalFormatting>
  <conditionalFormatting sqref="F28">
    <cfRule type="cellIs" dxfId="194" priority="53" stopIfTrue="1" operator="lessThan">
      <formula>$B$2</formula>
    </cfRule>
  </conditionalFormatting>
  <conditionalFormatting sqref="F29">
    <cfRule type="expression" dxfId="193" priority="48" stopIfTrue="1">
      <formula>AND($E29-TODAY()&lt;30,TODAY()&lt;$E29)</formula>
    </cfRule>
  </conditionalFormatting>
  <conditionalFormatting sqref="F29">
    <cfRule type="cellIs" dxfId="192" priority="49" stopIfTrue="1" operator="lessThan">
      <formula>$B$2</formula>
    </cfRule>
  </conditionalFormatting>
  <conditionalFormatting sqref="F13">
    <cfRule type="cellIs" dxfId="191" priority="41" stopIfTrue="1" operator="lessThan">
      <formula>$B$2</formula>
    </cfRule>
  </conditionalFormatting>
  <conditionalFormatting sqref="C12">
    <cfRule type="expression" dxfId="190" priority="39">
      <formula>AND($C12-TODAY()&lt;30,TODAY()&lt;$C12)</formula>
    </cfRule>
  </conditionalFormatting>
  <conditionalFormatting sqref="C12">
    <cfRule type="cellIs" dxfId="189" priority="40" stopIfTrue="1" operator="lessThan">
      <formula>$B$2</formula>
    </cfRule>
  </conditionalFormatting>
  <conditionalFormatting sqref="C12">
    <cfRule type="expression" dxfId="188" priority="37">
      <formula>AND($C12-TODAY()&lt;30,TODAY()&lt;$C12)</formula>
    </cfRule>
  </conditionalFormatting>
  <conditionalFormatting sqref="C12">
    <cfRule type="cellIs" dxfId="187" priority="38" stopIfTrue="1" operator="lessThan">
      <formula>$B$2</formula>
    </cfRule>
  </conditionalFormatting>
  <conditionalFormatting sqref="B12">
    <cfRule type="cellIs" dxfId="186" priority="36" stopIfTrue="1" operator="equal">
      <formula>"已过期"</formula>
    </cfRule>
  </conditionalFormatting>
  <conditionalFormatting sqref="E12">
    <cfRule type="cellIs" dxfId="185" priority="35" stopIfTrue="1" operator="equal">
      <formula>"已过期"</formula>
    </cfRule>
  </conditionalFormatting>
  <conditionalFormatting sqref="F12">
    <cfRule type="cellIs" dxfId="184" priority="34" stopIfTrue="1" operator="lessThan">
      <formula>$B$2</formula>
    </cfRule>
  </conditionalFormatting>
  <conditionalFormatting sqref="C22">
    <cfRule type="expression" dxfId="183" priority="32">
      <formula>AND($C22-TODAY()&lt;30,TODAY()&lt;$C22)</formula>
    </cfRule>
  </conditionalFormatting>
  <conditionalFormatting sqref="C22">
    <cfRule type="cellIs" dxfId="182" priority="33" stopIfTrue="1" operator="lessThan">
      <formula>$B$2</formula>
    </cfRule>
  </conditionalFormatting>
  <conditionalFormatting sqref="C22">
    <cfRule type="expression" dxfId="181" priority="30">
      <formula>AND($C22-TODAY()&lt;30,TODAY()&lt;$C22)</formula>
    </cfRule>
  </conditionalFormatting>
  <conditionalFormatting sqref="C22">
    <cfRule type="cellIs" dxfId="180" priority="31" stopIfTrue="1" operator="lessThan">
      <formula>$B$2</formula>
    </cfRule>
  </conditionalFormatting>
  <conditionalFormatting sqref="C16">
    <cfRule type="expression" dxfId="179" priority="28">
      <formula>AND($C16-TODAY()&lt;30,TODAY()&lt;$C16)</formula>
    </cfRule>
  </conditionalFormatting>
  <conditionalFormatting sqref="C16">
    <cfRule type="cellIs" dxfId="178" priority="29" stopIfTrue="1" operator="lessThan">
      <formula>$B$2</formula>
    </cfRule>
  </conditionalFormatting>
  <conditionalFormatting sqref="C16">
    <cfRule type="expression" dxfId="177" priority="26">
      <formula>AND($C16-TODAY()&lt;30,TODAY()&lt;$C16)</formula>
    </cfRule>
  </conditionalFormatting>
  <conditionalFormatting sqref="C16">
    <cfRule type="cellIs" dxfId="176" priority="27" stopIfTrue="1" operator="lessThan">
      <formula>$B$2</formula>
    </cfRule>
  </conditionalFormatting>
  <conditionalFormatting sqref="B16">
    <cfRule type="cellIs" dxfId="175" priority="25" stopIfTrue="1" operator="equal">
      <formula>"已过期"</formula>
    </cfRule>
  </conditionalFormatting>
  <conditionalFormatting sqref="C14:C15">
    <cfRule type="expression" dxfId="174" priority="23">
      <formula>AND($C14-TODAY()&lt;30,TODAY()&lt;$C14)</formula>
    </cfRule>
  </conditionalFormatting>
  <conditionalFormatting sqref="C14:C15">
    <cfRule type="cellIs" dxfId="173" priority="24" stopIfTrue="1" operator="lessThan">
      <formula>$B$2</formula>
    </cfRule>
  </conditionalFormatting>
  <conditionalFormatting sqref="C14">
    <cfRule type="expression" dxfId="172" priority="21">
      <formula>AND($C14-TODAY()&lt;30,TODAY()&lt;$C14)</formula>
    </cfRule>
  </conditionalFormatting>
  <conditionalFormatting sqref="C14">
    <cfRule type="cellIs" dxfId="171" priority="22" stopIfTrue="1" operator="lessThan">
      <formula>$B$2</formula>
    </cfRule>
  </conditionalFormatting>
  <conditionalFormatting sqref="C15">
    <cfRule type="expression" dxfId="170" priority="19">
      <formula>AND($C15-TODAY()&lt;30,TODAY()&lt;$C15)</formula>
    </cfRule>
  </conditionalFormatting>
  <conditionalFormatting sqref="C15">
    <cfRule type="cellIs" dxfId="169" priority="20" stopIfTrue="1" operator="lessThan">
      <formula>$B$2</formula>
    </cfRule>
  </conditionalFormatting>
  <conditionalFormatting sqref="B14">
    <cfRule type="cellIs" dxfId="168" priority="18" stopIfTrue="1" operator="equal">
      <formula>"已过期"</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F16">
    <cfRule type="cellIs" dxfId="164" priority="14" stopIfTrue="1" operator="lessThan">
      <formula>$B$2</formula>
    </cfRule>
  </conditionalFormatting>
  <conditionalFormatting sqref="E16 E14">
    <cfRule type="cellIs" dxfId="163" priority="13" stopIfTrue="1" operator="equal">
      <formula>"已过期"</formula>
    </cfRule>
  </conditionalFormatting>
  <conditionalFormatting sqref="E15">
    <cfRule type="cellIs" dxfId="162" priority="12" stopIfTrue="1" operator="equal">
      <formula>"已过期"</formula>
    </cfRule>
  </conditionalFormatting>
  <conditionalFormatting sqref="D15">
    <cfRule type="cellIs" dxfId="161" priority="11" stopIfTrue="1" operator="equal">
      <formula>"已过期"</formula>
    </cfRule>
  </conditionalFormatting>
  <conditionalFormatting sqref="F17">
    <cfRule type="cellIs" dxfId="160" priority="10" stopIfTrue="1" operator="lessThan">
      <formula>$B$2</formula>
    </cfRule>
  </conditionalFormatting>
  <conditionalFormatting sqref="E17">
    <cfRule type="cellIs" dxfId="159" priority="9" stopIfTrue="1" operator="equal">
      <formula>"已过期"</formula>
    </cfRule>
  </conditionalFormatting>
  <conditionalFormatting sqref="F14">
    <cfRule type="cellIs" dxfId="158" priority="8" stopIfTrue="1" operator="lessThan">
      <formula>$B$2</formula>
    </cfRule>
  </conditionalFormatting>
  <conditionalFormatting sqref="C18">
    <cfRule type="expression" dxfId="157" priority="6">
      <formula>AND($C18-TODAY()&lt;30,TODAY()&lt;$C18)</formula>
    </cfRule>
  </conditionalFormatting>
  <conditionalFormatting sqref="C18">
    <cfRule type="cellIs" dxfId="156" priority="7" stopIfTrue="1" operator="lessThan">
      <formula>$B$2</formula>
    </cfRule>
  </conditionalFormatting>
  <conditionalFormatting sqref="C18">
    <cfRule type="expression" dxfId="155" priority="4">
      <formula>AND($C18-TODAY()&lt;30,TODAY()&lt;$C18)</formula>
    </cfRule>
  </conditionalFormatting>
  <conditionalFormatting sqref="C18">
    <cfRule type="cellIs" dxfId="154" priority="5" stopIfTrue="1" operator="lessThan">
      <formula>$B$2</formula>
    </cfRule>
  </conditionalFormatting>
  <conditionalFormatting sqref="B18">
    <cfRule type="cellIs" dxfId="153" priority="3" stopIfTrue="1" operator="equal">
      <formula>"已过期"</formula>
    </cfRule>
  </conditionalFormatting>
  <conditionalFormatting sqref="C28">
    <cfRule type="expression" dxfId="152" priority="1">
      <formula>AND($C28-TODAY()&lt;30,TODAY()&lt;$C28)</formula>
    </cfRule>
  </conditionalFormatting>
  <conditionalFormatting sqref="C28">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收益法 (商业)</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Sheet2</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(商业)'!Print_Area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2020-02-24T02:39:28Z</dcterms:modified>
</cp:coreProperties>
</file>