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7490" windowHeight="55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413" sheetId="9" r:id="rId18"/>
    <sheet name="成本法" sheetId="68" state="hidden" r:id="rId19"/>
    <sheet name="成本法 (元)" sheetId="69" state="hidden" r:id="rId20"/>
    <sheet name="假设开发法" sheetId="12" state="hidden" r:id="rId21"/>
    <sheet name="收益法" sheetId="15" state="hidden" r:id="rId22"/>
    <sheet name="比较法-办公售价413" sheetId="81" r:id="rId23"/>
    <sheet name="收益法 (元)413"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租金" sheetId="80" r:id="rId29"/>
    <sheet name="结果表414" sheetId="84" r:id="rId30"/>
    <sheet name="比较法-办公售价414" sheetId="83" r:id="rId31"/>
    <sheet name="收益法 (元)414" sheetId="82"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r:id="rId45"/>
    <sheet name="因素修正幅度" sheetId="65" state="hidden" r:id="rId46"/>
    <sheet name="区片价（范围）" sheetId="75" state="hidden" r:id="rId47"/>
    <sheet name="地价-分区" sheetId="79" r:id="rId48"/>
    <sheet name="地价" sheetId="71" state="hidden" r:id="rId49"/>
    <sheet name="存贷款利率" sheetId="73" r:id="rId50"/>
  </sheets>
  <externalReferences>
    <externalReference r:id="rId51"/>
  </externalReferences>
  <definedNames>
    <definedName name="_xlnm._FilterDatabase" localSheetId="32" hidden="1">'比较法-办公'!$A$1:$L$50</definedName>
    <definedName name="_xlnm._FilterDatabase" localSheetId="28" hidden="1">'比较法-办公 租金'!$A$1:$L$50</definedName>
    <definedName name="_xlnm._FilterDatabase" localSheetId="22" hidden="1">'比较法-办公售价413'!$A$1:$L$50</definedName>
    <definedName name="_xlnm._FilterDatabase" localSheetId="30" hidden="1">'比较法-办公售价414'!$A$1:$L$50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28">'比较法-办公 租金'!$A$1:$K$55,'比较法-办公 租金'!$A$58:$M$132</definedName>
    <definedName name="_xlnm.Print_Area" localSheetId="22">'比较法-办公售价413'!$A$1:$K$55,'比较法-办公售价413'!$A$58:$M$132</definedName>
    <definedName name="_xlnm.Print_Area" localSheetId="30">'比较法-办公售价414'!$A$1:$K$55,'比较法-办公售价414'!$A$58:$M$132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结果表413!$A$1:$I$127</definedName>
    <definedName name="_xlnm.Print_Area" localSheetId="29">结果表414!$A$1:$I$127</definedName>
    <definedName name="_xlnm.Print_Area" localSheetId="21">收益法!$A$1:$F$43,收益法!$H$3:$M$29,收益法!$A$46:$F$71,收益法!$I$46:$N$65</definedName>
    <definedName name="_xlnm.Print_Area" localSheetId="23">'收益法 (元)413'!$A$1:$F$43,'收益法 (元)413'!$H$3:$M$29,'收益法 (元)413'!$A$45:$F$71,'收益法 (元)413'!$I$46:$N$65</definedName>
    <definedName name="_xlnm.Print_Area" localSheetId="31">'收益法 (元)414'!$A$1:$F$43,'收益法 (元)414'!$H$3:$M$29,'收益法 (元)414'!$A$45:$F$71,'收益法 (元)414'!$I$46:$N$65</definedName>
    <definedName name="_xlnm.Print_Area" localSheetId="25">'收益法（汇总）'!$A$1:$F$13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8">'比较法-办公 租金'!$B$119:$M$119</definedName>
    <definedName name="办公层高" localSheetId="22">'比较法-办公售价413'!$B$119:$M$119</definedName>
    <definedName name="办公层高" localSheetId="30">'比较法-办公售价414'!$B$119:$M$119</definedName>
    <definedName name="办公层高">'比较法-办公'!$B$119:$M$119</definedName>
    <definedName name="办公朝向" localSheetId="28">'比较法-办公 租金'!$B$91:$M$91</definedName>
    <definedName name="办公朝向" localSheetId="22">'比较法-办公售价413'!$B$91:$M$91</definedName>
    <definedName name="办公朝向" localSheetId="30">'比较法-办公售价414'!$B$91:$M$91</definedName>
    <definedName name="办公朝向">'比较法-办公'!$B$91:$M$91</definedName>
    <definedName name="办公道路级别" localSheetId="28">'比较法-办公 租金'!$B$87:$M$87</definedName>
    <definedName name="办公道路级别" localSheetId="22">'比较法-办公售价413'!$B$87:$M$87</definedName>
    <definedName name="办公道路级别" localSheetId="30">'比较法-办公售价414'!$B$87:$M$87</definedName>
    <definedName name="办公道路级别">'比较法-办公'!$B$87:$M$87</definedName>
    <definedName name="办公公共部分装修" localSheetId="28">'比较法-办公 租金'!$B$108:$M$108</definedName>
    <definedName name="办公公共部分装修" localSheetId="22">'比较法-办公售价413'!$B$108:$M$108</definedName>
    <definedName name="办公公共部分装修" localSheetId="30">'比较法-办公售价414'!$B$108:$M$108</definedName>
    <definedName name="办公公共部分装修">'比较法-办公'!$B$108:$M$108</definedName>
    <definedName name="办公基础设施水平" localSheetId="28">'比较法-办公 租金'!$B$117:$M$117</definedName>
    <definedName name="办公基础设施水平" localSheetId="22">'比较法-办公售价413'!$B$117:$M$117</definedName>
    <definedName name="办公基础设施水平" localSheetId="30">'比较法-办公售价414'!$B$117:$M$117</definedName>
    <definedName name="办公基础设施水平">'比较法-办公'!$B$117:$M$117</definedName>
    <definedName name="办公集聚程度">定义!$M$1:$M$6</definedName>
    <definedName name="办公建筑结构" localSheetId="28">'比较法-办公 租金'!$B$106:$M$106</definedName>
    <definedName name="办公建筑结构" localSheetId="22">'比较法-办公售价413'!$B$106:$M$106</definedName>
    <definedName name="办公建筑结构" localSheetId="30">'比较法-办公售价414'!$B$106:$M$106</definedName>
    <definedName name="办公建筑结构">'比较法-办公'!$B$106:$M$106</definedName>
    <definedName name="办公建筑类型" localSheetId="28">'比较法-办公 租金'!$B$101:$M$101</definedName>
    <definedName name="办公建筑类型" localSheetId="22">'比较法-办公售价413'!$B$101:$M$101</definedName>
    <definedName name="办公建筑类型" localSheetId="30">'比较法-办公售价414'!$B$101:$M$101</definedName>
    <definedName name="办公建筑类型">'比较法-办公'!$B$101:$M$101</definedName>
    <definedName name="办公交易情况" localSheetId="28">'比较法-办公 租金'!$A$62:$M$62</definedName>
    <definedName name="办公交易情况" localSheetId="22">'比较法-办公售价413'!$A$62:$M$62</definedName>
    <definedName name="办公交易情况" localSheetId="30">'比较法-办公售价414'!$A$62:$M$62</definedName>
    <definedName name="办公交易情况">'比较法-办公'!$A$62:$M$62</definedName>
    <definedName name="办公楼层" localSheetId="28">'比较法-办公 租金'!$B$89:$M$89</definedName>
    <definedName name="办公楼层" localSheetId="22">'比较法-办公售价413'!$B$89:$M$89</definedName>
    <definedName name="办公楼层" localSheetId="30">'比较法-办公售价414'!$B$89:$M$89</definedName>
    <definedName name="办公楼层">'比较法-办公'!$B$89:$M$89</definedName>
    <definedName name="办公内部装修" localSheetId="28">'比较法-办公 租金'!$B$123:$M$123</definedName>
    <definedName name="办公内部装修" localSheetId="22">'比较法-办公售价413'!$B$123:$M$123</definedName>
    <definedName name="办公内部装修" localSheetId="30">'比较法-办公售价414'!$B$123:$M$123</definedName>
    <definedName name="办公内部装修">'比较法-办公'!$B$123:$M$123</definedName>
    <definedName name="办公物业管理" localSheetId="28">'比较法-办公 租金'!$B$115:$M$115</definedName>
    <definedName name="办公物业管理" localSheetId="22">'比较法-办公售价413'!$B$115:$M$115</definedName>
    <definedName name="办公物业管理" localSheetId="30">'比较法-办公售价414'!$B$115:$M$115</definedName>
    <definedName name="办公物业管理">'比较法-办公'!$B$115:$M$115</definedName>
    <definedName name="办公用途" localSheetId="28">'比较法-办公 租金'!$B$64:$M$64</definedName>
    <definedName name="办公用途" localSheetId="22">'比较法-办公售价413'!$B$64:$M$64</definedName>
    <definedName name="办公用途" localSheetId="30">'比较法-办公售价414'!$B$64:$M$64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8">'比较法-办公 租金'!$B$113:$M$113</definedName>
    <definedName name="写字楼等级" localSheetId="22">'比较法-办公售价413'!$B$113:$M$113</definedName>
    <definedName name="写字楼等级" localSheetId="30">'比较法-办公售价414'!$B$113:$M$113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75" i="84" l="1"/>
  <c r="C66" i="84"/>
  <c r="C75" i="84"/>
  <c r="H75" i="9"/>
  <c r="C66" i="9"/>
  <c r="C75" i="9"/>
  <c r="B14" i="74"/>
  <c r="D63" i="83"/>
  <c r="A120" i="84"/>
  <c r="A118" i="84"/>
  <c r="E111" i="84"/>
  <c r="E109" i="84"/>
  <c r="A124" i="84" s="1"/>
  <c r="E107" i="84"/>
  <c r="A122" i="84" s="1"/>
  <c r="H106" i="84"/>
  <c r="H105" i="84"/>
  <c r="H104" i="84"/>
  <c r="H103" i="84"/>
  <c r="D120" i="84" s="1"/>
  <c r="D101" i="84"/>
  <c r="C101" i="84"/>
  <c r="D93" i="84"/>
  <c r="C91" i="84"/>
  <c r="E90" i="84"/>
  <c r="D89" i="84"/>
  <c r="C89" i="84"/>
  <c r="C87" i="84" s="1"/>
  <c r="D78" i="84"/>
  <c r="H77" i="84"/>
  <c r="D77" i="84"/>
  <c r="C77" i="84" s="1"/>
  <c r="C76" i="84"/>
  <c r="D68" i="84"/>
  <c r="F59" i="84"/>
  <c r="O55" i="84" s="1"/>
  <c r="E59" i="84"/>
  <c r="N55" i="84" s="1"/>
  <c r="N56" i="84"/>
  <c r="M56" i="84"/>
  <c r="K56" i="84"/>
  <c r="J56" i="84"/>
  <c r="F56" i="84"/>
  <c r="O54" i="84" s="1"/>
  <c r="K55" i="84"/>
  <c r="J55" i="84"/>
  <c r="I55" i="84"/>
  <c r="F55" i="84"/>
  <c r="O53" i="84" s="1"/>
  <c r="N54" i="84"/>
  <c r="F54" i="84"/>
  <c r="N53" i="84"/>
  <c r="F53" i="84"/>
  <c r="F52" i="84"/>
  <c r="K49" i="84"/>
  <c r="F48" i="84"/>
  <c r="O52" i="84" s="1"/>
  <c r="E48" i="84"/>
  <c r="N52" i="84" s="1"/>
  <c r="M47" i="84"/>
  <c r="C35" i="84"/>
  <c r="G118" i="84" s="1"/>
  <c r="C34" i="84"/>
  <c r="E118" i="84" s="1"/>
  <c r="F33" i="84"/>
  <c r="D27" i="84"/>
  <c r="C25" i="84"/>
  <c r="C24" i="84"/>
  <c r="M19" i="84"/>
  <c r="C118" i="84" s="1"/>
  <c r="L19" i="84"/>
  <c r="M18" i="84"/>
  <c r="B118" i="84" s="1"/>
  <c r="L18" i="84"/>
  <c r="D17" i="84"/>
  <c r="C17" i="84"/>
  <c r="L4" i="84"/>
  <c r="K4" i="84"/>
  <c r="A2" i="84"/>
  <c r="H1" i="84"/>
  <c r="C42" i="81"/>
  <c r="C34" i="81"/>
  <c r="C42" i="83"/>
  <c r="C34" i="83"/>
  <c r="B131" i="83"/>
  <c r="B129" i="83"/>
  <c r="B127" i="83"/>
  <c r="D126" i="83"/>
  <c r="E126" i="83" s="1"/>
  <c r="F126" i="83" s="1"/>
  <c r="G126" i="83" s="1"/>
  <c r="E124" i="83"/>
  <c r="F124" i="83" s="1"/>
  <c r="G124" i="83" s="1"/>
  <c r="H124" i="83" s="1"/>
  <c r="I124" i="83" s="1"/>
  <c r="J124" i="83" s="1"/>
  <c r="K124" i="83" s="1"/>
  <c r="L124" i="83" s="1"/>
  <c r="M124" i="83" s="1"/>
  <c r="D124" i="83"/>
  <c r="D120" i="83"/>
  <c r="E120" i="83" s="1"/>
  <c r="F120" i="83" s="1"/>
  <c r="G120" i="83" s="1"/>
  <c r="H120" i="83" s="1"/>
  <c r="I120" i="83" s="1"/>
  <c r="J120" i="83" s="1"/>
  <c r="K120" i="83" s="1"/>
  <c r="L120" i="83" s="1"/>
  <c r="M120" i="83" s="1"/>
  <c r="D118" i="83"/>
  <c r="E118" i="83" s="1"/>
  <c r="E116" i="83"/>
  <c r="F116" i="83" s="1"/>
  <c r="G116" i="83" s="1"/>
  <c r="H116" i="83" s="1"/>
  <c r="I116" i="83" s="1"/>
  <c r="J116" i="83" s="1"/>
  <c r="K116" i="83" s="1"/>
  <c r="L116" i="83" s="1"/>
  <c r="M116" i="83" s="1"/>
  <c r="D116" i="83"/>
  <c r="D114" i="83"/>
  <c r="E114" i="83" s="1"/>
  <c r="F114" i="83" s="1"/>
  <c r="G114" i="83" s="1"/>
  <c r="H114" i="83" s="1"/>
  <c r="I114" i="83" s="1"/>
  <c r="J114" i="83" s="1"/>
  <c r="K114" i="83" s="1"/>
  <c r="L114" i="83" s="1"/>
  <c r="M114" i="83" s="1"/>
  <c r="E112" i="83"/>
  <c r="F112" i="83" s="1"/>
  <c r="G112" i="83" s="1"/>
  <c r="H112" i="83" s="1"/>
  <c r="I112" i="83" s="1"/>
  <c r="J112" i="83" s="1"/>
  <c r="K112" i="83" s="1"/>
  <c r="L112" i="83" s="1"/>
  <c r="M112" i="83" s="1"/>
  <c r="D112" i="83"/>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F90" i="83"/>
  <c r="G90" i="83" s="1"/>
  <c r="H90" i="83" s="1"/>
  <c r="I90" i="83" s="1"/>
  <c r="J90" i="83" s="1"/>
  <c r="K90" i="83" s="1"/>
  <c r="L90" i="83" s="1"/>
  <c r="M90" i="83" s="1"/>
  <c r="E90" i="83"/>
  <c r="D90" i="83"/>
  <c r="B89" i="83"/>
  <c r="E88" i="83"/>
  <c r="F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Q39" i="83"/>
  <c r="Z39" i="83" s="1"/>
  <c r="J39" i="83"/>
  <c r="AC39" i="83" s="1"/>
  <c r="H39" i="83"/>
  <c r="AB39" i="83" s="1"/>
  <c r="F39" i="83"/>
  <c r="AA39" i="83" s="1"/>
  <c r="Q38" i="83"/>
  <c r="Z38" i="83" s="1"/>
  <c r="J38" i="83"/>
  <c r="AC38" i="83" s="1"/>
  <c r="H38" i="83"/>
  <c r="AB38" i="83" s="1"/>
  <c r="F38" i="83"/>
  <c r="AA38" i="83" s="1"/>
  <c r="Q37" i="83"/>
  <c r="Z37" i="83" s="1"/>
  <c r="G37" i="83"/>
  <c r="H37" i="83" s="1"/>
  <c r="C37" i="83"/>
  <c r="I37" i="83" s="1"/>
  <c r="J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F25" i="83"/>
  <c r="S25" i="83" s="1"/>
  <c r="Q23" i="83"/>
  <c r="Z23" i="83" s="1"/>
  <c r="J23" i="83"/>
  <c r="AC23" i="83" s="1"/>
  <c r="H23" i="83"/>
  <c r="AB23" i="83" s="1"/>
  <c r="F23" i="83"/>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C10" i="83"/>
  <c r="I10" i="83" s="1"/>
  <c r="J10" i="83" s="1"/>
  <c r="Q9" i="83"/>
  <c r="Z9" i="83" s="1"/>
  <c r="J9" i="83"/>
  <c r="AC9" i="83" s="1"/>
  <c r="H9" i="83"/>
  <c r="AB9" i="83" s="1"/>
  <c r="F9" i="83"/>
  <c r="AA9" i="83" s="1"/>
  <c r="J8" i="83"/>
  <c r="W8" i="83" s="1"/>
  <c r="H8" i="83"/>
  <c r="U8" i="83" s="1"/>
  <c r="F8" i="83"/>
  <c r="S8" i="83" s="1"/>
  <c r="J7" i="83"/>
  <c r="W7" i="83" s="1"/>
  <c r="H7" i="83"/>
  <c r="AB7" i="83" s="1"/>
  <c r="C7" i="83"/>
  <c r="C59" i="83" s="1"/>
  <c r="D59" i="83" s="1"/>
  <c r="E59" i="83" s="1"/>
  <c r="F59" i="83" s="1"/>
  <c r="G59" i="83" s="1"/>
  <c r="H59" i="83" s="1"/>
  <c r="I59" i="83" s="1"/>
  <c r="J59" i="83" s="1"/>
  <c r="K59" i="83" s="1"/>
  <c r="L59" i="83" s="1"/>
  <c r="M59" i="83" s="1"/>
  <c r="N59" i="83" s="1"/>
  <c r="O59" i="83" s="1"/>
  <c r="D3" i="83"/>
  <c r="AM7" i="1"/>
  <c r="AL7" i="1"/>
  <c r="AK7" i="1"/>
  <c r="Y7" i="1"/>
  <c r="W7" i="1"/>
  <c r="V7" i="1"/>
  <c r="U7" i="1"/>
  <c r="Q7" i="1"/>
  <c r="N7" i="1"/>
  <c r="L7" i="1"/>
  <c r="J7" i="1"/>
  <c r="I7" i="1"/>
  <c r="H7" i="1"/>
  <c r="Q72" i="82"/>
  <c r="Q59" i="82"/>
  <c r="K59" i="82"/>
  <c r="P74" i="82" s="1"/>
  <c r="F59" i="82"/>
  <c r="Q58" i="82"/>
  <c r="Q51" i="82"/>
  <c r="J50" i="82"/>
  <c r="J51" i="82" s="1"/>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F20" i="6"/>
  <c r="B3" i="4"/>
  <c r="D2" i="83"/>
  <c r="C76" i="82"/>
  <c r="C74" i="84" l="1"/>
  <c r="J57" i="84"/>
  <c r="J59" i="84" s="1"/>
  <c r="J61" i="84" s="1"/>
  <c r="C18" i="84"/>
  <c r="D18" i="84" s="1"/>
  <c r="C92" i="84"/>
  <c r="C94" i="84"/>
  <c r="D118" i="84"/>
  <c r="D119" i="84" s="1"/>
  <c r="F118" i="84"/>
  <c r="F119" i="84" s="1"/>
  <c r="D121" i="84"/>
  <c r="K120" i="84"/>
  <c r="A126" i="84"/>
  <c r="H109" i="84"/>
  <c r="AC10" i="83"/>
  <c r="W10" i="83"/>
  <c r="AA8" i="83"/>
  <c r="F7" i="83"/>
  <c r="U7" i="83"/>
  <c r="AC7" i="83"/>
  <c r="AB8" i="83"/>
  <c r="W9" i="83"/>
  <c r="G10" i="83"/>
  <c r="H10" i="83" s="1"/>
  <c r="S11" i="83"/>
  <c r="U12" i="83"/>
  <c r="W13" i="83"/>
  <c r="AA25" i="83"/>
  <c r="F118" i="83"/>
  <c r="G118" i="83" s="1"/>
  <c r="J40" i="83"/>
  <c r="H40" i="83"/>
  <c r="F40" i="83"/>
  <c r="AC8" i="83"/>
  <c r="U11" i="83"/>
  <c r="W12" i="83"/>
  <c r="S14" i="83"/>
  <c r="S15" i="83"/>
  <c r="S17" i="83"/>
  <c r="S19" i="83"/>
  <c r="S21" i="83"/>
  <c r="AA23" i="83"/>
  <c r="S23" i="83"/>
  <c r="W23" i="83"/>
  <c r="AC37" i="83"/>
  <c r="W37" i="83"/>
  <c r="S9" i="83"/>
  <c r="E10" i="83"/>
  <c r="F10" i="83" s="1"/>
  <c r="W11" i="83"/>
  <c r="S13" i="83"/>
  <c r="U14" i="83"/>
  <c r="U15" i="83"/>
  <c r="U17" i="83"/>
  <c r="U19" i="83"/>
  <c r="U21" i="83"/>
  <c r="AB37" i="83"/>
  <c r="U37" i="83"/>
  <c r="J25" i="83"/>
  <c r="G88" i="83"/>
  <c r="H88" i="83" s="1"/>
  <c r="I88" i="83" s="1"/>
  <c r="J88" i="83" s="1"/>
  <c r="K88" i="83" s="1"/>
  <c r="L88" i="83" s="1"/>
  <c r="M88" i="83" s="1"/>
  <c r="H25" i="83"/>
  <c r="U9" i="83"/>
  <c r="S12" i="83"/>
  <c r="U13" i="83"/>
  <c r="W14" i="83"/>
  <c r="W15" i="83"/>
  <c r="W17" i="83"/>
  <c r="W19" i="83"/>
  <c r="W21" i="83"/>
  <c r="W27" i="83"/>
  <c r="S29" i="83"/>
  <c r="U30" i="83"/>
  <c r="W31" i="83"/>
  <c r="S33" i="83"/>
  <c r="U34" i="83"/>
  <c r="W35" i="83"/>
  <c r="U38" i="83"/>
  <c r="W39" i="83"/>
  <c r="S41" i="83"/>
  <c r="U42" i="83"/>
  <c r="W43" i="83"/>
  <c r="S45" i="83"/>
  <c r="U46" i="83"/>
  <c r="W47" i="83"/>
  <c r="U23" i="83"/>
  <c r="S28" i="83"/>
  <c r="U29" i="83"/>
  <c r="W30" i="83"/>
  <c r="S32" i="83"/>
  <c r="U33" i="83"/>
  <c r="W34" i="83"/>
  <c r="S36" i="83"/>
  <c r="E37" i="83"/>
  <c r="F37" i="83" s="1"/>
  <c r="W38" i="83"/>
  <c r="U41" i="83"/>
  <c r="W42" i="83"/>
  <c r="S44" i="83"/>
  <c r="U45" i="83"/>
  <c r="W46" i="83"/>
  <c r="S27" i="83"/>
  <c r="U28" i="83"/>
  <c r="W29" i="83"/>
  <c r="S31" i="83"/>
  <c r="U32" i="83"/>
  <c r="W33" i="83"/>
  <c r="S35" i="83"/>
  <c r="U36" i="83"/>
  <c r="S39" i="83"/>
  <c r="W41" i="83"/>
  <c r="S43" i="83"/>
  <c r="U44" i="83"/>
  <c r="W45" i="83"/>
  <c r="S47" i="83"/>
  <c r="U27" i="83"/>
  <c r="W28" i="83"/>
  <c r="S30" i="83"/>
  <c r="U31" i="83"/>
  <c r="W32" i="83"/>
  <c r="S34" i="83"/>
  <c r="U35" i="83"/>
  <c r="W36" i="83"/>
  <c r="S38" i="83"/>
  <c r="U39" i="83"/>
  <c r="S42" i="83"/>
  <c r="U43" i="83"/>
  <c r="W44" i="83"/>
  <c r="S46" i="83"/>
  <c r="U47" i="83"/>
  <c r="Q71" i="82"/>
  <c r="P61" i="82"/>
  <c r="B131" i="81"/>
  <c r="B129" i="8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H55" i="81"/>
  <c r="G55" i="8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AA45" i="81"/>
  <c r="Q45" i="81"/>
  <c r="Z45" i="81" s="1"/>
  <c r="J45" i="81"/>
  <c r="AC45" i="81" s="1"/>
  <c r="H45" i="81"/>
  <c r="AB45" i="81" s="1"/>
  <c r="F45" i="81"/>
  <c r="S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I37" i="81"/>
  <c r="J37" i="81" s="1"/>
  <c r="G37" i="81"/>
  <c r="H37" i="81" s="1"/>
  <c r="E37" i="81"/>
  <c r="F37" i="81" s="1"/>
  <c r="C37" i="8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Q9" i="81"/>
  <c r="Z9" i="81" s="1"/>
  <c r="J9" i="81"/>
  <c r="AC9" i="81" s="1"/>
  <c r="H9" i="81"/>
  <c r="AB9" i="81" s="1"/>
  <c r="F9" i="81"/>
  <c r="AA9" i="81" s="1"/>
  <c r="J8" i="81"/>
  <c r="W8" i="81" s="1"/>
  <c r="H8" i="81"/>
  <c r="AB8" i="81" s="1"/>
  <c r="F8" i="81"/>
  <c r="S8" i="81" s="1"/>
  <c r="I37" i="80"/>
  <c r="G37" i="80"/>
  <c r="E37" i="80"/>
  <c r="C37" i="80"/>
  <c r="J37" i="80" s="1"/>
  <c r="AC37" i="80" s="1"/>
  <c r="B131" i="80"/>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J31" i="80" s="1"/>
  <c r="AC31" i="80" s="1"/>
  <c r="B95" i="80"/>
  <c r="B93" i="80"/>
  <c r="J29" i="80" s="1"/>
  <c r="AC29" i="80" s="1"/>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H13" i="80" s="1"/>
  <c r="AB13" i="80" s="1"/>
  <c r="B71" i="80"/>
  <c r="E70" i="80"/>
  <c r="F70" i="80" s="1"/>
  <c r="G70" i="80" s="1"/>
  <c r="H70" i="80" s="1"/>
  <c r="I70" i="80" s="1"/>
  <c r="J70" i="80" s="1"/>
  <c r="K70" i="80" s="1"/>
  <c r="L70" i="80" s="1"/>
  <c r="M70" i="80" s="1"/>
  <c r="D70" i="80"/>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H37" i="80"/>
  <c r="AB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H31" i="80"/>
  <c r="AB31" i="80" s="1"/>
  <c r="Q30" i="80"/>
  <c r="Z30" i="80" s="1"/>
  <c r="J30" i="80"/>
  <c r="AC30" i="80" s="1"/>
  <c r="H30" i="80"/>
  <c r="AB30" i="80" s="1"/>
  <c r="F30" i="80"/>
  <c r="AA30" i="80" s="1"/>
  <c r="Q29" i="80"/>
  <c r="Z29" i="80" s="1"/>
  <c r="H29" i="80"/>
  <c r="AB29" i="80" s="1"/>
  <c r="Q28" i="80"/>
  <c r="Z28" i="80" s="1"/>
  <c r="J28" i="80"/>
  <c r="AC28" i="80" s="1"/>
  <c r="H28" i="80"/>
  <c r="AB28" i="80" s="1"/>
  <c r="F28" i="80"/>
  <c r="AA28" i="80" s="1"/>
  <c r="Q27" i="80"/>
  <c r="Z27" i="80" s="1"/>
  <c r="J27" i="80"/>
  <c r="AC27" i="80" s="1"/>
  <c r="H27" i="80"/>
  <c r="AB27" i="80" s="1"/>
  <c r="F27" i="80"/>
  <c r="AA27" i="80" s="1"/>
  <c r="Q25" i="80"/>
  <c r="Z25" i="80" s="1"/>
  <c r="J25" i="80"/>
  <c r="W25" i="80" s="1"/>
  <c r="H25" i="80"/>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F13" i="80"/>
  <c r="AA13" i="80" s="1"/>
  <c r="Q12" i="80"/>
  <c r="Z12" i="80" s="1"/>
  <c r="J12" i="80"/>
  <c r="AC12" i="80" s="1"/>
  <c r="H12" i="80"/>
  <c r="AB12" i="80" s="1"/>
  <c r="F12" i="80"/>
  <c r="AA12" i="80" s="1"/>
  <c r="Q11" i="80"/>
  <c r="Z11" i="80" s="1"/>
  <c r="J11" i="80"/>
  <c r="AC11" i="80" s="1"/>
  <c r="H11" i="80"/>
  <c r="AB11" i="80" s="1"/>
  <c r="F11" i="80"/>
  <c r="AA11" i="80" s="1"/>
  <c r="Q10" i="80"/>
  <c r="Z10" i="80" s="1"/>
  <c r="Q9" i="80"/>
  <c r="Z9" i="80" s="1"/>
  <c r="J9" i="80"/>
  <c r="AC9" i="80" s="1"/>
  <c r="H9" i="80"/>
  <c r="AB9" i="80" s="1"/>
  <c r="F9" i="80"/>
  <c r="AA9" i="80" s="1"/>
  <c r="J8" i="80"/>
  <c r="W8" i="80" s="1"/>
  <c r="H8" i="80"/>
  <c r="AB8" i="80" s="1"/>
  <c r="F8" i="80"/>
  <c r="S8" i="80" s="1"/>
  <c r="Y6" i="1"/>
  <c r="K21" i="1"/>
  <c r="N6" i="1" s="1"/>
  <c r="F40" i="82"/>
  <c r="M6" i="82"/>
  <c r="M26" i="82"/>
  <c r="F38" i="82"/>
  <c r="M28" i="82"/>
  <c r="M9" i="82"/>
  <c r="M23" i="82"/>
  <c r="F37" i="82"/>
  <c r="F7" i="82"/>
  <c r="F43" i="82"/>
  <c r="M8" i="82"/>
  <c r="M29" i="82"/>
  <c r="F42" i="82"/>
  <c r="F9" i="82"/>
  <c r="F26" i="82"/>
  <c r="F8" i="82"/>
  <c r="F13" i="82"/>
  <c r="M22" i="82"/>
  <c r="J15" i="82"/>
  <c r="M27" i="82"/>
  <c r="M24" i="82"/>
  <c r="F16" i="82"/>
  <c r="F36" i="82"/>
  <c r="F6" i="82"/>
  <c r="D124" i="84" l="1"/>
  <c r="D125" i="84" s="1"/>
  <c r="H110" i="84"/>
  <c r="AB25" i="83"/>
  <c r="U25" i="83"/>
  <c r="AC40" i="83"/>
  <c r="W40" i="83"/>
  <c r="S7" i="83"/>
  <c r="AA7" i="83"/>
  <c r="AC25" i="83"/>
  <c r="V49" i="83" s="1"/>
  <c r="I49" i="83" s="1"/>
  <c r="W25" i="83"/>
  <c r="AA37" i="83"/>
  <c r="S37" i="83"/>
  <c r="AA40" i="83"/>
  <c r="S40" i="83"/>
  <c r="AA10" i="83"/>
  <c r="S10" i="83"/>
  <c r="AB40" i="83"/>
  <c r="U40" i="83"/>
  <c r="AB10" i="83"/>
  <c r="U10" i="83"/>
  <c r="C6" i="82"/>
  <c r="F64" i="82"/>
  <c r="F51" i="82"/>
  <c r="C27" i="82"/>
  <c r="F71" i="82"/>
  <c r="M7" i="82"/>
  <c r="F50" i="82"/>
  <c r="F65" i="82"/>
  <c r="F66" i="82"/>
  <c r="J6" i="82"/>
  <c r="F68" i="82"/>
  <c r="U8" i="81"/>
  <c r="AA8" i="81"/>
  <c r="AC8" i="81"/>
  <c r="U9" i="81"/>
  <c r="U11" i="81"/>
  <c r="S12" i="81"/>
  <c r="W12" i="81"/>
  <c r="U13" i="81"/>
  <c r="S14" i="81"/>
  <c r="W14" i="81"/>
  <c r="S15" i="81"/>
  <c r="W15" i="81"/>
  <c r="S17" i="81"/>
  <c r="W17" i="81"/>
  <c r="AC19" i="81"/>
  <c r="W19" i="81"/>
  <c r="S19" i="81"/>
  <c r="AA37" i="81"/>
  <c r="S37" i="81"/>
  <c r="AC37" i="81"/>
  <c r="W37" i="81"/>
  <c r="S9" i="81"/>
  <c r="W9" i="81"/>
  <c r="S11" i="81"/>
  <c r="W11" i="81"/>
  <c r="U12" i="81"/>
  <c r="S13" i="81"/>
  <c r="W13" i="81"/>
  <c r="U14" i="81"/>
  <c r="U15" i="81"/>
  <c r="U17" i="81"/>
  <c r="AB37" i="81"/>
  <c r="U37" i="81"/>
  <c r="S21" i="81"/>
  <c r="W21" i="81"/>
  <c r="S23" i="81"/>
  <c r="W23" i="81"/>
  <c r="U25" i="81"/>
  <c r="S27" i="81"/>
  <c r="W27" i="81"/>
  <c r="U28" i="81"/>
  <c r="S29" i="81"/>
  <c r="W29" i="81"/>
  <c r="U30" i="81"/>
  <c r="S31" i="81"/>
  <c r="W31" i="81"/>
  <c r="U32" i="81"/>
  <c r="S33" i="81"/>
  <c r="W33" i="81"/>
  <c r="U34" i="81"/>
  <c r="S35" i="81"/>
  <c r="W35" i="81"/>
  <c r="U36" i="81"/>
  <c r="U38" i="81"/>
  <c r="S39" i="81"/>
  <c r="W39" i="81"/>
  <c r="U40" i="81"/>
  <c r="S41" i="81"/>
  <c r="W41" i="81"/>
  <c r="U42" i="81"/>
  <c r="S43" i="81"/>
  <c r="W43" i="81"/>
  <c r="U44" i="81"/>
  <c r="W45" i="81"/>
  <c r="U19" i="81"/>
  <c r="U21" i="81"/>
  <c r="U23" i="81"/>
  <c r="S25" i="81"/>
  <c r="W25" i="81"/>
  <c r="U27" i="81"/>
  <c r="S28" i="81"/>
  <c r="W28" i="81"/>
  <c r="U29" i="81"/>
  <c r="S30" i="81"/>
  <c r="W30" i="81"/>
  <c r="U31" i="81"/>
  <c r="S32" i="81"/>
  <c r="W32" i="81"/>
  <c r="U33" i="81"/>
  <c r="S34" i="81"/>
  <c r="W34" i="81"/>
  <c r="U35" i="81"/>
  <c r="S36" i="81"/>
  <c r="W36" i="81"/>
  <c r="S38" i="81"/>
  <c r="W38" i="81"/>
  <c r="U39" i="81"/>
  <c r="S40" i="81"/>
  <c r="W40" i="81"/>
  <c r="U41" i="81"/>
  <c r="S42" i="81"/>
  <c r="W42" i="81"/>
  <c r="U43" i="81"/>
  <c r="S44" i="81"/>
  <c r="W44" i="81"/>
  <c r="U45" i="81"/>
  <c r="U46" i="81"/>
  <c r="S47" i="81"/>
  <c r="W47" i="81"/>
  <c r="S46" i="81"/>
  <c r="W46" i="81"/>
  <c r="U47" i="81"/>
  <c r="F37" i="80"/>
  <c r="AA37" i="80" s="1"/>
  <c r="F29" i="80"/>
  <c r="AA29" i="80" s="1"/>
  <c r="F31" i="80"/>
  <c r="AA31" i="80" s="1"/>
  <c r="AC25" i="80"/>
  <c r="U8" i="80"/>
  <c r="AA8" i="80"/>
  <c r="AC8" i="80"/>
  <c r="S17" i="80"/>
  <c r="W17" i="80"/>
  <c r="S19" i="80"/>
  <c r="W19" i="80"/>
  <c r="S21" i="80"/>
  <c r="W21" i="80"/>
  <c r="S23" i="80"/>
  <c r="W23" i="80"/>
  <c r="AB25" i="80"/>
  <c r="U25" i="80"/>
  <c r="S28" i="80"/>
  <c r="U9" i="80"/>
  <c r="U11" i="80"/>
  <c r="S12" i="80"/>
  <c r="W12" i="80"/>
  <c r="U13" i="80"/>
  <c r="S14" i="80"/>
  <c r="W14" i="80"/>
  <c r="S15" i="80"/>
  <c r="W15" i="80"/>
  <c r="S9" i="80"/>
  <c r="W9" i="80"/>
  <c r="S11" i="80"/>
  <c r="W11" i="80"/>
  <c r="U12" i="80"/>
  <c r="S13" i="80"/>
  <c r="W13" i="80"/>
  <c r="U14" i="80"/>
  <c r="U15" i="80"/>
  <c r="U17" i="80"/>
  <c r="U19" i="80"/>
  <c r="U21" i="80"/>
  <c r="U23" i="80"/>
  <c r="S25" i="80"/>
  <c r="U27"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S27" i="80"/>
  <c r="W27" i="80"/>
  <c r="U28" i="80"/>
  <c r="S29" i="80"/>
  <c r="W29" i="80"/>
  <c r="U30" i="80"/>
  <c r="W31" i="80"/>
  <c r="U32" i="80"/>
  <c r="S33" i="80"/>
  <c r="W33" i="80"/>
  <c r="U34" i="80"/>
  <c r="S35" i="80"/>
  <c r="W35" i="80"/>
  <c r="U36" i="80"/>
  <c r="W37" i="80"/>
  <c r="U38" i="80"/>
  <c r="S39" i="80"/>
  <c r="W39" i="80"/>
  <c r="U40" i="80"/>
  <c r="S41" i="80"/>
  <c r="W41" i="80"/>
  <c r="U42" i="80"/>
  <c r="S43" i="80"/>
  <c r="W43" i="80"/>
  <c r="U44" i="80"/>
  <c r="S45" i="80"/>
  <c r="W45" i="80"/>
  <c r="U46" i="80"/>
  <c r="S47" i="80"/>
  <c r="W47" i="80"/>
  <c r="C16" i="82"/>
  <c r="C17" i="82"/>
  <c r="C14" i="82"/>
  <c r="I53" i="83" l="1"/>
  <c r="J53" i="83" s="1"/>
  <c r="R49" i="83"/>
  <c r="T49" i="83"/>
  <c r="G49" i="83" s="1"/>
  <c r="C49" i="82"/>
  <c r="C61" i="82" s="1"/>
  <c r="C18" i="82"/>
  <c r="C15" i="82"/>
  <c r="J18" i="82"/>
  <c r="J19" i="82"/>
  <c r="C33" i="82"/>
  <c r="C32" i="82"/>
  <c r="S37" i="80"/>
  <c r="S31" i="80"/>
  <c r="C19" i="82" l="1"/>
  <c r="C20" i="82" s="1"/>
  <c r="G53" i="83"/>
  <c r="H53" i="83" s="1"/>
  <c r="G54" i="83"/>
  <c r="H54" i="83" s="1"/>
  <c r="E49" i="83"/>
  <c r="R50" i="83"/>
  <c r="I7" i="79"/>
  <c r="C50" i="83" l="1"/>
  <c r="C49" i="83"/>
  <c r="E54" i="83"/>
  <c r="F54" i="83" s="1"/>
  <c r="E53" i="83"/>
  <c r="F53" i="83" s="1"/>
  <c r="I54" i="83"/>
  <c r="J54" i="83" s="1"/>
  <c r="C26" i="82"/>
  <c r="I29" i="79"/>
  <c r="I28" i="79"/>
  <c r="N28" i="79"/>
  <c r="M28" i="79"/>
  <c r="P28" i="79" s="1"/>
  <c r="L28" i="79"/>
  <c r="N29" i="79"/>
  <c r="M29" i="79"/>
  <c r="L29" i="79"/>
  <c r="P6" i="79"/>
  <c r="O6" i="79"/>
  <c r="N6" i="79"/>
  <c r="M6" i="79"/>
  <c r="L6" i="79"/>
  <c r="K6" i="79"/>
  <c r="O7" i="79"/>
  <c r="N7" i="79"/>
  <c r="M7" i="79"/>
  <c r="P7" i="79" s="1"/>
  <c r="L7" i="79"/>
  <c r="K7" i="79"/>
  <c r="B3" i="83" l="1"/>
  <c r="B2" i="83"/>
  <c r="P29" i="79"/>
  <c r="C20" i="84"/>
  <c r="C19" i="84"/>
  <c r="C102" i="84" l="1"/>
  <c r="C21" i="84"/>
  <c r="C103" i="84"/>
  <c r="G14" i="73"/>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L47" i="82"/>
  <c r="N59" i="82" l="1"/>
  <c r="M59" i="82"/>
  <c r="L59" i="82"/>
  <c r="I2" i="43"/>
  <c r="M1" i="43" s="1"/>
  <c r="Q61" i="82" l="1"/>
  <c r="Q74" i="82"/>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c r="F37" i="34"/>
  <c r="AA37" i="34" s="1"/>
  <c r="S35" i="34"/>
  <c r="F28" i="34"/>
  <c r="AA28" i="34"/>
  <c r="F27" i="34"/>
  <c r="AA27" i="34" s="1"/>
  <c r="F25" i="34"/>
  <c r="S25" i="34" s="1"/>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F114" i="34"/>
  <c r="G114" i="34"/>
  <c r="H114" i="34"/>
  <c r="I114" i="34"/>
  <c r="J114" i="34"/>
  <c r="K114" i="34"/>
  <c r="L114" i="34"/>
  <c r="M114" i="34"/>
  <c r="H38" i="34"/>
  <c r="AB38" i="34"/>
  <c r="J36" i="34"/>
  <c r="W36" i="34" s="1"/>
  <c r="H37" i="34"/>
  <c r="U37" i="34" s="1"/>
  <c r="H25" i="34"/>
  <c r="AB25" i="34"/>
  <c r="J25" i="34"/>
  <c r="AC25" i="34" s="1"/>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82"/>
  <c r="F7" i="67"/>
  <c r="F26" i="15"/>
  <c r="B12" i="76"/>
  <c r="M24" i="15"/>
  <c r="B8" i="76"/>
  <c r="F5" i="73"/>
  <c r="F36" i="15"/>
  <c r="F7" i="73"/>
  <c r="F7" i="15"/>
  <c r="F26" i="67"/>
  <c r="M26" i="15"/>
  <c r="M28" i="15"/>
  <c r="F38" i="67"/>
  <c r="M23" i="15"/>
  <c r="F13" i="15"/>
  <c r="F42" i="67"/>
  <c r="F40" i="15"/>
  <c r="F4" i="73"/>
  <c r="F9" i="67"/>
  <c r="J15" i="15"/>
  <c r="M6" i="67"/>
  <c r="D6" i="73"/>
  <c r="C76" i="67"/>
  <c r="L47" i="15"/>
  <c r="E2" i="69"/>
  <c r="M22" i="67"/>
  <c r="M9" i="15"/>
  <c r="F13" i="67"/>
  <c r="E10" i="76"/>
  <c r="B13" i="76"/>
  <c r="F43" i="67"/>
  <c r="B9" i="76"/>
  <c r="L47" i="67"/>
  <c r="E9" i="76"/>
  <c r="L48" i="15"/>
  <c r="E12" i="76"/>
  <c r="F37" i="15"/>
  <c r="F8" i="15"/>
  <c r="F38" i="15"/>
  <c r="M29" i="15"/>
  <c r="M28" i="67"/>
  <c r="M6" i="15"/>
  <c r="F6" i="15"/>
  <c r="E13" i="76"/>
  <c r="D4" i="73"/>
  <c r="M24" i="67"/>
  <c r="F43" i="15"/>
  <c r="AO13" i="1"/>
  <c r="M9" i="67"/>
  <c r="F42" i="15"/>
  <c r="M8" i="15"/>
  <c r="D5" i="73"/>
  <c r="F40" i="67"/>
  <c r="F16" i="67"/>
  <c r="B11" i="76"/>
  <c r="J15" i="67"/>
  <c r="B7" i="76"/>
  <c r="E7" i="76"/>
  <c r="E2" i="68"/>
  <c r="F20" i="31"/>
  <c r="F9" i="15"/>
  <c r="D7" i="73"/>
  <c r="F3" i="73"/>
  <c r="C76" i="15"/>
  <c r="M29" i="67"/>
  <c r="M23" i="67"/>
  <c r="E8" i="76"/>
  <c r="F16" i="15"/>
  <c r="F36" i="67"/>
  <c r="B10" i="76"/>
  <c r="L48" i="67"/>
  <c r="E11" i="76"/>
  <c r="D3" i="73"/>
  <c r="F37" i="67"/>
  <c r="F8" i="67"/>
  <c r="F6" i="73"/>
  <c r="M8" i="67"/>
  <c r="M22" i="15"/>
  <c r="M26" i="67"/>
  <c r="J57" i="82" l="1"/>
  <c r="J55" i="82" s="1"/>
  <c r="J58" i="82" s="1"/>
  <c r="Q50" i="82" s="1"/>
  <c r="L57" i="82"/>
  <c r="I54" i="82"/>
  <c r="L56" i="82"/>
  <c r="J53" i="82"/>
  <c r="L60" i="82"/>
  <c r="L58" i="82"/>
  <c r="G5" i="3"/>
  <c r="B3" i="3" s="1"/>
  <c r="E15" i="3" s="1"/>
  <c r="G6" i="1"/>
  <c r="C10" i="81"/>
  <c r="C10" i="80"/>
  <c r="C7" i="80"/>
  <c r="C59" i="80" s="1"/>
  <c r="C7" i="81"/>
  <c r="C59" i="81" s="1"/>
  <c r="D3" i="80"/>
  <c r="D3" i="81"/>
  <c r="G29" i="6"/>
  <c r="G7" i="1"/>
  <c r="I24" i="43"/>
  <c r="C24" i="43" s="1"/>
  <c r="AZ15" i="3"/>
  <c r="E412" i="3"/>
  <c r="E473" i="3"/>
  <c r="E428" i="3"/>
  <c r="E75" i="3"/>
  <c r="E94" i="3"/>
  <c r="E42" i="3"/>
  <c r="L6" i="3"/>
  <c r="E356" i="3"/>
  <c r="E333" i="3"/>
  <c r="E391" i="3"/>
  <c r="E276" i="3"/>
  <c r="E243" i="3"/>
  <c r="E281" i="3"/>
  <c r="E225" i="3"/>
  <c r="E139" i="3"/>
  <c r="E119" i="3"/>
  <c r="E115" i="3"/>
  <c r="E108" i="3"/>
  <c r="E41" i="3"/>
  <c r="E40" i="3"/>
  <c r="E26" i="3"/>
  <c r="E420" i="3"/>
  <c r="E470" i="3"/>
  <c r="E452" i="3"/>
  <c r="E419" i="3"/>
  <c r="E13" i="3"/>
  <c r="J6" i="3"/>
  <c r="E497" i="3"/>
  <c r="E376" i="3"/>
  <c r="E360" i="3"/>
  <c r="E451" i="3"/>
  <c r="E408" i="3"/>
  <c r="E512" i="3"/>
  <c r="E507" i="3"/>
  <c r="E456" i="3"/>
  <c r="E427" i="3"/>
  <c r="E405" i="3"/>
  <c r="E564" i="3"/>
  <c r="E534" i="3"/>
  <c r="E525" i="3"/>
  <c r="E369" i="3"/>
  <c r="E197" i="3"/>
  <c r="E140" i="3"/>
  <c r="E296" i="3"/>
  <c r="E205" i="3"/>
  <c r="H69" i="43"/>
  <c r="H67" i="43"/>
  <c r="AA40" i="34"/>
  <c r="AC39" i="34"/>
  <c r="AC36" i="34"/>
  <c r="W33" i="34"/>
  <c r="AB33" i="34"/>
  <c r="C21" i="68"/>
  <c r="C40" i="69"/>
  <c r="E286" i="3"/>
  <c r="E141" i="3"/>
  <c r="E199" i="3"/>
  <c r="E167" i="3"/>
  <c r="E212" i="3"/>
  <c r="E149" i="3"/>
  <c r="E148" i="3"/>
  <c r="E244" i="3"/>
  <c r="E536" i="3"/>
  <c r="E165" i="3"/>
  <c r="E539" i="3"/>
  <c r="BL14" i="3"/>
  <c r="BJ5" i="3"/>
  <c r="BF5" i="3"/>
  <c r="BB5" i="3"/>
  <c r="BL5" i="3"/>
  <c r="AZ14" i="3"/>
  <c r="BA5" i="3"/>
  <c r="G28" i="6"/>
  <c r="E28" i="6" s="1"/>
  <c r="K14" i="1" s="1"/>
  <c r="F29" i="6"/>
  <c r="F30" i="6" s="1"/>
  <c r="C28" i="67"/>
  <c r="B13" i="53"/>
  <c r="B2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Q73" i="82" l="1"/>
  <c r="Q60" i="82"/>
  <c r="Q66" i="82"/>
  <c r="Q57" i="82"/>
  <c r="Q52" i="82"/>
  <c r="F1" i="82"/>
  <c r="M11" i="82"/>
  <c r="J10" i="82" s="1"/>
  <c r="J5" i="82" s="1"/>
  <c r="F11" i="82"/>
  <c r="G30" i="6"/>
  <c r="G31" i="6" s="1"/>
  <c r="E393" i="3"/>
  <c r="T6" i="3"/>
  <c r="E469" i="3"/>
  <c r="E440" i="3"/>
  <c r="E556" i="3"/>
  <c r="E494" i="3"/>
  <c r="E401" i="3"/>
  <c r="E104" i="3"/>
  <c r="E198" i="3"/>
  <c r="E242" i="3"/>
  <c r="E332" i="3"/>
  <c r="AL6" i="3"/>
  <c r="E43" i="3"/>
  <c r="E482" i="3"/>
  <c r="G26" i="43"/>
  <c r="N94" i="46"/>
  <c r="J26" i="43"/>
  <c r="E173" i="3"/>
  <c r="E493" i="3"/>
  <c r="E543" i="3"/>
  <c r="E486" i="3"/>
  <c r="E422" i="3"/>
  <c r="E490" i="3"/>
  <c r="AH6" i="3"/>
  <c r="E498" i="3"/>
  <c r="E483" i="3"/>
  <c r="E463" i="3"/>
  <c r="E25" i="3"/>
  <c r="E178" i="3"/>
  <c r="E202" i="3"/>
  <c r="E226" i="3"/>
  <c r="E346" i="3"/>
  <c r="E372" i="3"/>
  <c r="E60" i="3"/>
  <c r="E540" i="3"/>
  <c r="E26" i="43"/>
  <c r="D26" i="43" s="1"/>
  <c r="C25" i="43" s="1"/>
  <c r="E510" i="3"/>
  <c r="E16" i="3"/>
  <c r="E105" i="3"/>
  <c r="E499" i="3"/>
  <c r="E502" i="3"/>
  <c r="E466" i="3"/>
  <c r="E430" i="3"/>
  <c r="E255" i="3"/>
  <c r="AP6" i="3"/>
  <c r="E517" i="3"/>
  <c r="E491" i="3"/>
  <c r="E479" i="3"/>
  <c r="E37" i="3"/>
  <c r="E152" i="3"/>
  <c r="E192" i="3"/>
  <c r="E241" i="3"/>
  <c r="E363" i="3"/>
  <c r="E389" i="3"/>
  <c r="E76" i="3"/>
  <c r="E409" i="3"/>
  <c r="E425"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0" i="3"/>
  <c r="E138" i="3"/>
  <c r="E209" i="3"/>
  <c r="E354" i="3"/>
  <c r="E24" i="3"/>
  <c r="E250" i="3"/>
  <c r="E51" i="3"/>
  <c r="E323" i="3"/>
  <c r="E188" i="3"/>
  <c r="E312" i="3"/>
  <c r="E542" i="3"/>
  <c r="E421" i="3"/>
  <c r="E487" i="3"/>
  <c r="E416" i="3"/>
  <c r="E374" i="3"/>
  <c r="E500" i="3"/>
  <c r="E413" i="3"/>
  <c r="E520" i="3"/>
  <c r="E39" i="3"/>
  <c r="E57" i="3"/>
  <c r="E187" i="3"/>
  <c r="E240" i="3"/>
  <c r="E378" i="3"/>
  <c r="E462" i="3"/>
  <c r="E446" i="3"/>
  <c r="E98" i="3"/>
  <c r="E163" i="3"/>
  <c r="E386" i="3"/>
  <c r="E48" i="3"/>
  <c r="Y6" i="3"/>
  <c r="E373" i="3"/>
  <c r="E223" i="3"/>
  <c r="E575" i="3"/>
  <c r="R6" i="3"/>
  <c r="E442" i="3"/>
  <c r="E541" i="3"/>
  <c r="E449" i="3"/>
  <c r="I3" i="6"/>
  <c r="E554" i="3"/>
  <c r="E435" i="3"/>
  <c r="E417" i="3"/>
  <c r="E56" i="3"/>
  <c r="E95" i="3"/>
  <c r="E132" i="3"/>
  <c r="E258" i="3"/>
  <c r="E292" i="3"/>
  <c r="E349" i="3"/>
  <c r="E544" i="3"/>
  <c r="E59" i="3"/>
  <c r="E484"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84" i="3"/>
  <c r="E33" i="3"/>
  <c r="E184" i="3"/>
  <c r="E355" i="3"/>
  <c r="E68" i="3"/>
  <c r="E81" i="3"/>
  <c r="E118" i="3"/>
  <c r="E283" i="3"/>
  <c r="E513" i="3"/>
  <c r="E259" i="3"/>
  <c r="E195" i="3"/>
  <c r="E266" i="3"/>
  <c r="E66" i="3"/>
  <c r="E127" i="3"/>
  <c r="E341" i="3"/>
  <c r="E154" i="3"/>
  <c r="E222" i="3"/>
  <c r="E329" i="3"/>
  <c r="E116" i="3"/>
  <c r="AD6" i="3"/>
  <c r="E552" i="3"/>
  <c r="E464" i="3"/>
  <c r="E398" i="3"/>
  <c r="E459" i="3"/>
  <c r="E566" i="3"/>
  <c r="E582" i="3"/>
  <c r="E460" i="3"/>
  <c r="E436" i="3"/>
  <c r="E90" i="3"/>
  <c r="E131" i="3"/>
  <c r="E155" i="3"/>
  <c r="E297" i="3"/>
  <c r="E348" i="3"/>
  <c r="E375" i="3"/>
  <c r="E58" i="3"/>
  <c r="E488" i="3"/>
  <c r="E521" i="3"/>
  <c r="E467" i="3"/>
  <c r="E64" i="3"/>
  <c r="E46" i="3"/>
  <c r="E103" i="3"/>
  <c r="E160" i="3"/>
  <c r="E142" i="3"/>
  <c r="E200" i="3"/>
  <c r="E267" i="3"/>
  <c r="E249" i="3"/>
  <c r="E300" i="3"/>
  <c r="E371" i="3"/>
  <c r="E310" i="3"/>
  <c r="E492" i="3"/>
  <c r="E23" i="3"/>
  <c r="E67" i="3"/>
  <c r="E144" i="3"/>
  <c r="E233" i="3"/>
  <c r="E381" i="3"/>
  <c r="E63" i="3"/>
  <c r="E264" i="3"/>
  <c r="E309" i="3"/>
  <c r="E21" i="3"/>
  <c r="E504" i="3"/>
  <c r="E47" i="3"/>
  <c r="E65" i="3"/>
  <c r="E248" i="3"/>
  <c r="E307" i="3"/>
  <c r="E584" i="3"/>
  <c r="E87" i="3"/>
  <c r="E284" i="3"/>
  <c r="E19" i="3"/>
  <c r="E179" i="3"/>
  <c r="E82" i="3"/>
  <c r="D59" i="80"/>
  <c r="E59" i="80" s="1"/>
  <c r="F59" i="80" s="1"/>
  <c r="G59" i="80" s="1"/>
  <c r="H59" i="80" s="1"/>
  <c r="I59" i="80" s="1"/>
  <c r="J59" i="80" s="1"/>
  <c r="K59" i="80" s="1"/>
  <c r="L59" i="80" s="1"/>
  <c r="M59" i="80" s="1"/>
  <c r="N59" i="80" s="1"/>
  <c r="O59" i="80" s="1"/>
  <c r="J7" i="80"/>
  <c r="F7" i="80"/>
  <c r="I10" i="81"/>
  <c r="J10" i="81" s="1"/>
  <c r="E10" i="81"/>
  <c r="F10" i="81" s="1"/>
  <c r="G10" i="81"/>
  <c r="H10" i="81" s="1"/>
  <c r="F7" i="36"/>
  <c r="J7" i="37"/>
  <c r="H7" i="36"/>
  <c r="D59" i="81"/>
  <c r="E59" i="81" s="1"/>
  <c r="F59" i="81" s="1"/>
  <c r="G59" i="81" s="1"/>
  <c r="H59" i="81" s="1"/>
  <c r="I59" i="81" s="1"/>
  <c r="J59" i="81" s="1"/>
  <c r="K59" i="81" s="1"/>
  <c r="L59" i="81" s="1"/>
  <c r="M59" i="81" s="1"/>
  <c r="N59" i="81" s="1"/>
  <c r="O59" i="81" s="1"/>
  <c r="F7" i="81"/>
  <c r="H7" i="81"/>
  <c r="J7" i="81"/>
  <c r="I10" i="80"/>
  <c r="J10" i="80" s="1"/>
  <c r="E10" i="80"/>
  <c r="F10" i="80" s="1"/>
  <c r="G10" i="80"/>
  <c r="H10" i="80" s="1"/>
  <c r="E29" i="6"/>
  <c r="K15" i="1" s="1"/>
  <c r="K16" i="1" s="1"/>
  <c r="D18" i="53"/>
  <c r="B35" i="72" s="1"/>
  <c r="C7" i="74"/>
  <c r="E61" i="43"/>
  <c r="B59" i="43" s="1"/>
  <c r="C28" i="43" s="1"/>
  <c r="B116" i="43"/>
  <c r="Z7" i="43"/>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AE6" i="1"/>
  <c r="F41" i="82" s="1"/>
  <c r="F69" i="82" l="1"/>
  <c r="L36" i="43"/>
  <c r="L37" i="43" s="1"/>
  <c r="F24" i="82"/>
  <c r="C53" i="82"/>
  <c r="C48" i="82" s="1"/>
  <c r="C10" i="82"/>
  <c r="C5" i="82" s="1"/>
  <c r="J24" i="82"/>
  <c r="J26" i="82"/>
  <c r="J29" i="82" s="1"/>
  <c r="AB10" i="80"/>
  <c r="U10" i="80"/>
  <c r="AC10" i="80"/>
  <c r="W10" i="80"/>
  <c r="AB7" i="81"/>
  <c r="U7" i="81"/>
  <c r="S10" i="81"/>
  <c r="AA10" i="81"/>
  <c r="S7" i="80"/>
  <c r="AA7" i="80"/>
  <c r="H7" i="80"/>
  <c r="AA10" i="80"/>
  <c r="S10" i="80"/>
  <c r="W7" i="81"/>
  <c r="AC7" i="81"/>
  <c r="S7" i="81"/>
  <c r="AA7" i="81"/>
  <c r="R49" i="81" s="1"/>
  <c r="U10" i="81"/>
  <c r="AB10" i="81"/>
  <c r="W10" i="81"/>
  <c r="AC10" i="81"/>
  <c r="W7" i="80"/>
  <c r="AC7" i="80"/>
  <c r="V49" i="80" s="1"/>
  <c r="I49" i="80" s="1"/>
  <c r="I53" i="80" s="1"/>
  <c r="J53" i="80" s="1"/>
  <c r="E30" i="6"/>
  <c r="E65" i="39"/>
  <c r="P36" i="43"/>
  <c r="N36" i="43"/>
  <c r="Q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M27" i="15"/>
  <c r="F41" i="67"/>
  <c r="M27" i="67"/>
  <c r="F41" i="15"/>
  <c r="O36" i="43" l="1"/>
  <c r="C66" i="82"/>
  <c r="C60" i="82"/>
  <c r="C24" i="82"/>
  <c r="C23" i="82"/>
  <c r="C38" i="82"/>
  <c r="R49" i="80"/>
  <c r="E49" i="81"/>
  <c r="V49" i="81"/>
  <c r="I49" i="81" s="1"/>
  <c r="AB7" i="80"/>
  <c r="T49" i="80" s="1"/>
  <c r="G49" i="80" s="1"/>
  <c r="U7" i="80"/>
  <c r="T49" i="81"/>
  <c r="G49" i="81" s="1"/>
  <c r="F69" i="67"/>
  <c r="R50" i="34"/>
  <c r="C49" i="34" s="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29" i="82" l="1"/>
  <c r="M19" i="9"/>
  <c r="C118" i="9" s="1"/>
  <c r="B2" i="74" s="1"/>
  <c r="H25" i="6"/>
  <c r="I53" i="81"/>
  <c r="J53" i="81" s="1"/>
  <c r="I54" i="81"/>
  <c r="J54" i="81" s="1"/>
  <c r="E53" i="81"/>
  <c r="F53" i="81" s="1"/>
  <c r="E54" i="81"/>
  <c r="F54" i="81" s="1"/>
  <c r="G53" i="81"/>
  <c r="H53" i="81" s="1"/>
  <c r="G54" i="81"/>
  <c r="H54" i="81" s="1"/>
  <c r="G54" i="80"/>
  <c r="H54" i="80" s="1"/>
  <c r="G53" i="80"/>
  <c r="H53" i="80" s="1"/>
  <c r="R50" i="81"/>
  <c r="R50" i="80"/>
  <c r="E49" i="80"/>
  <c r="C50" i="34"/>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E6" i="76"/>
  <c r="B6" i="76"/>
  <c r="C14" i="15"/>
  <c r="C57" i="82" l="1"/>
  <c r="C64" i="82" s="1"/>
  <c r="C13" i="82"/>
  <c r="Q49" i="82"/>
  <c r="C36" i="82"/>
  <c r="J14" i="82"/>
  <c r="J59" i="82"/>
  <c r="J60" i="82" s="1"/>
  <c r="C49" i="80"/>
  <c r="U6" i="1" s="1"/>
  <c r="C50" i="80"/>
  <c r="I54" i="80"/>
  <c r="J54" i="80" s="1"/>
  <c r="E53" i="80"/>
  <c r="F53" i="80" s="1"/>
  <c r="E54" i="80"/>
  <c r="F54" i="80" s="1"/>
  <c r="C50" i="81"/>
  <c r="C49" i="8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6" i="67"/>
  <c r="Q48" i="82" l="1"/>
  <c r="L46" i="82"/>
  <c r="C56" i="82"/>
  <c r="C65" i="82" s="1"/>
  <c r="C37" i="82"/>
  <c r="C75" i="82"/>
  <c r="Q70" i="82"/>
  <c r="J13" i="82"/>
  <c r="J23" i="82" s="1"/>
  <c r="J22" i="82"/>
  <c r="C6" i="67"/>
  <c r="B3" i="81"/>
  <c r="B2" i="81"/>
  <c r="F7" i="21"/>
  <c r="S7" i="21" s="1"/>
  <c r="J7" i="21"/>
  <c r="D7" i="71"/>
  <c r="C6"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19" i="9"/>
  <c r="C20" i="9"/>
  <c r="C102" i="9" l="1"/>
  <c r="C21" i="9"/>
  <c r="C103" i="9"/>
  <c r="C32" i="67"/>
  <c r="C10" i="67"/>
  <c r="C5" i="67" s="1"/>
  <c r="C38" i="67" s="1"/>
  <c r="C33" i="67"/>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2"/>
  <c r="M21" i="82"/>
  <c r="F35" i="15"/>
  <c r="M21" i="15"/>
  <c r="M21" i="67"/>
  <c r="F35" i="67"/>
  <c r="J20" i="82" l="1"/>
  <c r="J17" i="82" s="1"/>
  <c r="J16" i="82" s="1"/>
  <c r="J25" i="82" s="1"/>
  <c r="F63" i="82"/>
  <c r="C62" i="82" s="1"/>
  <c r="C59" i="82" s="1"/>
  <c r="C58" i="82" s="1"/>
  <c r="C67" i="82" s="1"/>
  <c r="C68" i="82" s="1"/>
  <c r="C34" i="82"/>
  <c r="C31" i="82" s="1"/>
  <c r="C30" i="82" s="1"/>
  <c r="C39"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0" i="82" l="1"/>
  <c r="Q69" i="82"/>
  <c r="Q68" i="82" s="1"/>
  <c r="C80" i="82"/>
  <c r="C79" i="82" s="1"/>
  <c r="C71" i="82"/>
  <c r="C45" i="82"/>
  <c r="C46" i="82"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2"/>
  <c r="D2" i="21"/>
  <c r="Q69" i="67" l="1"/>
  <c r="Q68" i="67" s="1"/>
  <c r="H39" i="67"/>
  <c r="Q67" i="82"/>
  <c r="Q47" i="82"/>
  <c r="Q53" i="82" s="1"/>
  <c r="C43" i="82"/>
  <c r="D2" i="82"/>
  <c r="Q65" i="82"/>
  <c r="Q75" i="82" s="1"/>
  <c r="Q56" i="82"/>
  <c r="Q62" i="82" s="1"/>
  <c r="C83" i="82"/>
  <c r="C82" i="82"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2" i="81"/>
  <c r="D2" i="80"/>
  <c r="B3" i="82" l="1"/>
  <c r="B2" i="82"/>
  <c r="B2" i="80"/>
  <c r="B3" i="80"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84"/>
  <c r="D19" i="84"/>
  <c r="D2" i="37"/>
  <c r="L51" i="15"/>
  <c r="D2" i="36"/>
  <c r="D2" i="35"/>
  <c r="D19" i="9"/>
  <c r="D2" i="34"/>
  <c r="D21" i="84" l="1"/>
  <c r="D22" i="84"/>
  <c r="D102" i="84"/>
  <c r="G19" i="84"/>
  <c r="G21" i="84" s="1"/>
  <c r="D103" i="84"/>
  <c r="G20" i="84"/>
  <c r="C32" i="84" s="1"/>
  <c r="D102" i="9"/>
  <c r="G19" i="9"/>
  <c r="G21" i="9" s="1"/>
  <c r="D2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1" i="1"/>
  <c r="AO6" i="1"/>
  <c r="AO12" i="1"/>
  <c r="AO9" i="1"/>
  <c r="AO10" i="1"/>
  <c r="D20" i="9"/>
  <c r="AO8" i="1"/>
  <c r="I118" i="84" l="1"/>
  <c r="D35" i="84"/>
  <c r="D34" i="84"/>
  <c r="G20" i="9"/>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05" i="84" l="1"/>
  <c r="H118" i="84"/>
  <c r="H102" i="84"/>
  <c r="C32" i="9"/>
  <c r="R24" i="3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H119" i="84" l="1"/>
  <c r="H101" i="84"/>
  <c r="C104" i="84"/>
  <c r="S24" i="31"/>
  <c r="R25" i="31"/>
  <c r="S25" i="31" s="1"/>
  <c r="C34" i="9"/>
  <c r="C42" i="40"/>
  <c r="C43" i="40"/>
  <c r="E47" i="40"/>
  <c r="F47" i="40" s="1"/>
  <c r="E46" i="40"/>
  <c r="F46" i="40" s="1"/>
  <c r="I47" i="40"/>
  <c r="J47" i="40" s="1"/>
  <c r="D34" i="9"/>
  <c r="H107" i="84" l="1"/>
  <c r="D45" i="84"/>
  <c r="M48" i="84"/>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C72" i="84"/>
  <c r="D52" i="84"/>
  <c r="C85" i="84"/>
  <c r="C78" i="84"/>
  <c r="C73" i="84" s="1"/>
  <c r="D55" i="84"/>
  <c r="M53" i="84" s="1"/>
  <c r="C64" i="84"/>
  <c r="C63" i="84" s="1"/>
  <c r="C67" i="84" s="1"/>
  <c r="C93" i="84"/>
  <c r="C86" i="84" s="1"/>
  <c r="D53" i="84"/>
  <c r="D122" i="84"/>
  <c r="D123" i="84" s="1"/>
  <c r="H108" i="84"/>
  <c r="M49" i="84"/>
  <c r="C95" i="84" l="1"/>
  <c r="L67" i="84"/>
  <c r="M67" i="84" s="1"/>
  <c r="L66" i="84"/>
  <c r="M66" i="84" s="1"/>
  <c r="L65" i="84"/>
  <c r="M65" i="84" s="1"/>
  <c r="L64" i="84"/>
  <c r="M64" i="84" s="1"/>
  <c r="L63" i="84"/>
  <c r="M63" i="84" s="1"/>
  <c r="L68" i="84"/>
  <c r="M68" i="84" s="1"/>
  <c r="C68" i="84"/>
  <c r="D54" i="84" s="1"/>
  <c r="D48" i="84" s="1"/>
  <c r="M52" i="84" s="1"/>
  <c r="D59" i="84"/>
  <c r="M55" i="84" s="1"/>
  <c r="C79" i="84"/>
  <c r="G118" i="9"/>
  <c r="I118" i="9"/>
  <c r="C105" i="9" l="1"/>
  <c r="E14" i="74"/>
  <c r="C80" i="84"/>
  <c r="E80" i="84" s="1"/>
  <c r="E81" i="84" s="1"/>
  <c r="C81" i="84"/>
  <c r="M69" i="84"/>
  <c r="N69" i="84" s="1"/>
  <c r="C96" i="84"/>
  <c r="E96" i="84" s="1"/>
  <c r="E97" i="84" s="1"/>
  <c r="H118" i="9"/>
  <c r="I4" i="52"/>
  <c r="H102" i="9"/>
  <c r="F118" i="9"/>
  <c r="G4" i="52"/>
  <c r="B52" i="72" s="1"/>
  <c r="E118" i="9"/>
  <c r="H4" i="52" l="1"/>
  <c r="D14" i="74"/>
  <c r="C97" i="84"/>
  <c r="D58" i="84" s="1"/>
  <c r="D56" i="84" s="1"/>
  <c r="M54" i="84" s="1"/>
  <c r="N57" i="84" s="1"/>
  <c r="D7" i="53"/>
  <c r="B21" i="72" s="1"/>
  <c r="H119" i="9"/>
  <c r="H5" i="52" s="1"/>
  <c r="H101" i="9"/>
  <c r="H107" i="9" s="1"/>
  <c r="C104" i="9"/>
  <c r="E4" i="52"/>
  <c r="B48" i="72" s="1"/>
  <c r="D118" i="9"/>
  <c r="F4" i="52"/>
  <c r="B51" i="72" s="1"/>
  <c r="F119" i="9"/>
  <c r="F5" i="52" s="1"/>
  <c r="B53" i="72" s="1"/>
  <c r="F14" i="74" l="1"/>
  <c r="B5" i="74"/>
  <c r="N58" i="84"/>
  <c r="P57" i="84"/>
  <c r="N59" i="84"/>
  <c r="M48" i="9"/>
  <c r="D5" i="53"/>
  <c r="D6" i="53" s="1"/>
  <c r="B22" i="72" s="1"/>
  <c r="D45" i="9"/>
  <c r="D53" i="9" s="1"/>
  <c r="D4" i="52"/>
  <c r="B47" i="72" s="1"/>
  <c r="D119" i="9"/>
  <c r="D5" i="52" s="1"/>
  <c r="B49" i="72" s="1"/>
  <c r="D13" i="53"/>
  <c r="H108" i="9"/>
  <c r="D122" i="9"/>
  <c r="G14" i="74" s="1"/>
  <c r="B6" i="74" s="1"/>
  <c r="D6" i="74" s="1"/>
  <c r="M49" i="9"/>
  <c r="D5" i="74" l="1"/>
  <c r="C5" i="74"/>
  <c r="B20" i="72"/>
  <c r="N61" i="84"/>
  <c r="H112" i="84" s="1"/>
  <c r="N60" i="84"/>
  <c r="H111" i="84"/>
  <c r="D126" i="84" s="1"/>
  <c r="D127" i="84" s="1"/>
  <c r="C64" i="9"/>
  <c r="C63" i="9" s="1"/>
  <c r="C67" i="9" s="1"/>
  <c r="C68" i="9" s="1"/>
  <c r="D54" i="9" s="1"/>
  <c r="D48" i="9" s="1"/>
  <c r="M52" i="9" s="1"/>
  <c r="C85" i="9"/>
  <c r="D52" i="9"/>
  <c r="C93" i="9"/>
  <c r="C86" i="9" s="1"/>
  <c r="C95" i="9" s="1"/>
  <c r="C96" i="9" s="1"/>
  <c r="E96" i="9" s="1"/>
  <c r="E97" i="9" s="1"/>
  <c r="C72" i="9"/>
  <c r="D55" i="9"/>
  <c r="M53" i="9" s="1"/>
  <c r="C78" i="9"/>
  <c r="C73" i="9" s="1"/>
  <c r="L67" i="9"/>
  <c r="M67" i="9" s="1"/>
  <c r="L65" i="9"/>
  <c r="M65" i="9" s="1"/>
  <c r="L66" i="9"/>
  <c r="M66" i="9" s="1"/>
  <c r="L64" i="9"/>
  <c r="M64" i="9" s="1"/>
  <c r="L63" i="9"/>
  <c r="M63" i="9" s="1"/>
  <c r="L68" i="9"/>
  <c r="M68" i="9" s="1"/>
  <c r="C6" i="74"/>
  <c r="D15" i="53"/>
  <c r="B31" i="72" s="1"/>
  <c r="D123" i="9"/>
  <c r="D9" i="52" s="1"/>
  <c r="D8" i="52"/>
  <c r="B30" i="72"/>
  <c r="D14" i="53"/>
  <c r="B32" i="72" s="1"/>
  <c r="D59" i="9" l="1"/>
  <c r="M55" i="9" s="1"/>
  <c r="C79" i="9"/>
  <c r="C80" i="9" s="1"/>
  <c r="E80" i="9" s="1"/>
  <c r="E81" i="9" s="1"/>
  <c r="M69" i="9"/>
  <c r="N69" i="9" s="1"/>
  <c r="C97" i="9"/>
  <c r="C81" i="9" l="1"/>
  <c r="D58" i="9" s="1"/>
  <c r="D56" i="9" s="1"/>
  <c r="M54" i="9" s="1"/>
  <c r="N57" i="9" s="1"/>
  <c r="N58" i="9" s="1"/>
  <c r="P57" i="9" l="1"/>
  <c r="N59" i="9"/>
  <c r="H111" i="9" s="1"/>
  <c r="N60" i="9" l="1"/>
  <c r="N61" i="9"/>
  <c r="H112" i="9" s="1"/>
  <c r="D126" i="9"/>
  <c r="I14" i="74" s="1"/>
  <c r="B8" i="74" s="1"/>
  <c r="D8" i="74" s="1"/>
  <c r="D19" i="53"/>
  <c r="C8" i="74" l="1"/>
  <c r="D21" i="53"/>
  <c r="B39" i="72" s="1"/>
  <c r="D20" i="53"/>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<sst xmlns="http://schemas.openxmlformats.org/spreadsheetml/2006/main" count="9606" uniqueCount="3479">
  <si>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</si>
  <si>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</si>
  <si>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</si>
  <si>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</si>
  <si>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</si>
  <si>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</si>
  <si>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</si>
  <si>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</si>
  <si>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</si>
  <si>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</si>
  <si>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</si>
  <si>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</si>
  <si>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</si>
  <si>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</si>
  <si>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</si>
  <si>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</si>
  <si>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</si>
  <si>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</si>
  <si>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</si>
  <si>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</si>
  <si>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</si>
  <si>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</si>
  <si>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</si>
  <si>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</si>
  <si>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</si>
  <si>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</si>
  <si>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</si>
  <si>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</si>
  <si>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</si>
  <si>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</si>
  <si>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</si>
  <si>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</si>
  <si>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</si>
  <si>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</si>
  <si>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</si>
  <si>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</si>
  <si>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</si>
  <si>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</si>
  <si>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</si>
  <si>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</si>
  <si>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</si>
  <si>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</si>
  <si>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</si>
  <si>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</si>
  <si>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</si>
  <si>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</si>
  <si>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</si>
  <si>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</si>
  <si>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</si>
  <si>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</si>
  <si>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</si>
  <si>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</si>
  <si>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</si>
  <si>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</si>
  <si>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</si>
  <si>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</si>
  <si>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</si>
  <si>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</si>
  <si>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</si>
  <si>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</si>
  <si>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</si>
  <si>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</si>
  <si>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</si>
  <si>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</si>
  <si>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</si>
  <si>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</si>
  <si>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</si>
  <si>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</si>
  <si>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</si>
  <si>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</si>
  <si>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</si>
  <si>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</si>
  <si>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</si>
  <si>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</si>
  <si>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</si>
  <si>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</si>
  <si>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</si>
  <si>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</si>
  <si>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</si>
  <si>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</si>
  <si>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</si>
  <si>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</si>
  <si>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</si>
  <si>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</si>
  <si>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</si>
  <si>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</si>
  <si>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</si>
  <si>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</si>
  <si>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</si>
  <si>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</si>
  <si>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</si>
  <si>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</si>
  <si>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</si>
  <si>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</si>
  <si>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</si>
  <si>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</si>
  <si>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</si>
  <si>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</si>
  <si>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</si>
  <si>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</si>
  <si>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</si>
  <si>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</si>
  <si>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</si>
  <si>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</si>
  <si>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</si>
  <si>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</si>
  <si>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</si>
  <si>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</si>
  <si>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</si>
  <si>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</si>
  <si>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</si>
  <si>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</si>
  <si>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</si>
  <si>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</si>
  <si>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</si>
  <si>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</si>
  <si>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</si>
  <si>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</si>
  <si>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</si>
  <si>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</si>
  <si>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</si>
  <si>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</si>
  <si>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</si>
  <si>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</si>
  <si>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</si>
  <si>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</si>
  <si>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</si>
  <si>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</si>
  <si>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</si>
  <si>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</si>
  <si>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</si>
  <si>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</si>
  <si>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</si>
  <si>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</si>
  <si>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</si>
  <si>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</si>
  <si>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</si>
  <si>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</si>
  <si>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</si>
  <si>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</si>
  <si>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</si>
  <si>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</si>
  <si>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</si>
  <si>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</si>
  <si>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</si>
  <si>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</si>
  <si>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</si>
  <si>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</si>
  <si>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</si>
  <si>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</si>
  <si>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</si>
  <si>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</si>
  <si>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</si>
  <si>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</si>
  <si>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</si>
  <si>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</si>
  <si>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</si>
  <si>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</si>
  <si>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</si>
  <si>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</si>
  <si>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</si>
  <si>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</si>
  <si>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</si>
  <si>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</si>
  <si>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</si>
  <si>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</si>
  <si>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</si>
  <si>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</si>
  <si>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</si>
  <si>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</si>
  <si>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</si>
  <si>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</si>
  <si>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</si>
  <si>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</si>
  <si>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</si>
  <si>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</si>
  <si>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</si>
  <si>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</si>
  <si>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</si>
  <si>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</si>
  <si>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</si>
  <si>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</si>
  <si>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</si>
  <si>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</si>
  <si>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</si>
  <si>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</si>
  <si>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</si>
  <si>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</si>
  <si>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</si>
  <si>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</si>
  <si>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</si>
  <si>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</si>
  <si>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</si>
  <si>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</si>
  <si>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</si>
  <si>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</si>
  <si>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</si>
  <si>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</si>
  <si>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</si>
  <si>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</si>
  <si>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</si>
  <si>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</si>
  <si>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</si>
  <si>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</si>
  <si>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</si>
  <si>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</si>
  <si>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</si>
  <si>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</si>
  <si>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</si>
  <si>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</si>
  <si>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</si>
  <si>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</si>
  <si>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</si>
  <si>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</si>
  <si>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</si>
  <si>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</si>
  <si>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</si>
  <si>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</si>
  <si>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</si>
  <si>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</si>
  <si>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</si>
  <si>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</si>
  <si>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</si>
  <si>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</si>
  <si>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</si>
  <si>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</si>
  <si>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</si>
  <si>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</si>
  <si>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</si>
  <si>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</si>
  <si>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</si>
  <si>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</si>
  <si>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</si>
  <si>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</si>
  <si>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</si>
  <si>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</si>
  <si>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</si>
  <si>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</si>
  <si>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</si>
  <si>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</si>
  <si>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</si>
  <si>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</si>
  <si>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</si>
  <si>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</si>
  <si>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</si>
  <si>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</si>
  <si>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</si>
  <si>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</si>
  <si>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</si>
  <si>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</si>
  <si>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</si>
  <si>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</si>
  <si>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</si>
  <si>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</si>
  <si>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</si>
  <si>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</si>
  <si>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</si>
  <si>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</si>
  <si>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</si>
  <si>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</si>
  <si>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</si>
  <si>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</si>
  <si>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</si>
  <si>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</si>
  <si>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</si>
  <si>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</si>
  <si>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</si>
  <si>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</si>
  <si>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</si>
  <si>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</si>
  <si>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</si>
  <si>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</si>
  <si>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</si>
  <si>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</si>
  <si>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</si>
  <si>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</si>
  <si>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</si>
  <si>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</si>
  <si>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</si>
  <si>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</si>
  <si>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</si>
  <si>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</si>
  <si>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</si>
  <si>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</si>
  <si>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</si>
  <si>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</si>
  <si>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</si>
  <si>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</si>
  <si>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</si>
  <si>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</si>
  <si>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</si>
  <si>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</si>
  <si>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</si>
  <si>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</si>
  <si>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</si>
  <si>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</si>
  <si>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</si>
  <si>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</si>
  <si>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</si>
  <si>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</si>
  <si>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</si>
  <si>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</si>
  <si>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</si>
  <si>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</si>
  <si>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</si>
  <si>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</si>
  <si>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</si>
  <si>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</si>
  <si>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</si>
  <si>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</si>
  <si>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</si>
  <si>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</si>
  <si>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</si>
  <si>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</si>
  <si>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</si>
  <si>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</si>
  <si>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</si>
  <si>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</si>
  <si>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</si>
  <si>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</si>
  <si>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</si>
  <si>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</si>
  <si>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</si>
  <si>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</si>
  <si>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</si>
  <si>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</si>
  <si>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</si>
  <si>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</si>
  <si>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</si>
  <si>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</si>
  <si>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</si>
  <si>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</si>
  <si>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</si>
  <si>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</si>
  <si>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</si>
  <si>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</si>
  <si>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</si>
  <si>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</si>
  <si>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</si>
  <si>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</si>
  <si>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</si>
  <si>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</si>
  <si>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</si>
  <si>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</si>
  <si>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</si>
  <si>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</si>
  <si>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</si>
  <si>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</si>
  <si>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</si>
  <si>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</si>
  <si>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</si>
  <si>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</si>
  <si>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</si>
  <si>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</si>
  <si>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</si>
  <si>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</si>
  <si>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</si>
  <si>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</si>
  <si>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</si>
  <si>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</si>
  <si>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</si>
  <si>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</si>
  <si>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</si>
  <si>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</si>
  <si>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</si>
  <si>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</si>
  <si>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</si>
  <si>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</si>
  <si>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</si>
  <si>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</si>
  <si>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</si>
  <si>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</si>
  <si>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</si>
  <si>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</si>
  <si>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</si>
  <si>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</si>
  <si>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</si>
  <si>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</si>
  <si>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</si>
  <si>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</si>
  <si>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</si>
  <si>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</si>
  <si>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</si>
  <si>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</si>
  <si>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</si>
  <si>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</si>
  <si>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</si>
  <si>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</si>
  <si>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</si>
  <si>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</si>
  <si>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</si>
  <si>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</si>
  <si>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</si>
  <si>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</si>
  <si>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</si>
  <si>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</si>
  <si>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</si>
  <si>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</si>
  <si>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</si>
  <si>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</si>
  <si>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</si>
  <si>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</si>
  <si>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</si>
  <si>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</si>
  <si>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</si>
  <si>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</si>
  <si>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</si>
  <si>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</si>
  <si>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</si>
  <si>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</si>
  <si>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</si>
  <si>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</si>
  <si>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</si>
  <si>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</si>
  <si>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</si>
  <si>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</si>
  <si>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</si>
  <si>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</si>
  <si>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</si>
  <si>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</si>
  <si>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</si>
  <si>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</si>
  <si>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</si>
  <si>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</si>
  <si>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</si>
  <si>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</si>
  <si>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</si>
  <si>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</si>
  <si>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</si>
  <si>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</si>
  <si>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</si>
  <si>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</si>
  <si>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</si>
  <si>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</si>
  <si>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</si>
  <si>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</si>
  <si>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</si>
  <si>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</si>
  <si>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</si>
  <si>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</si>
  <si>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</si>
  <si>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</si>
  <si>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</si>
  <si>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</si>
  <si>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</si>
  <si>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</si>
  <si>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</si>
  <si>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</si>
  <si>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</si>
  <si>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</si>
  <si>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</si>
  <si>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</si>
  <si>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</si>
  <si>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</si>
  <si>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</si>
  <si>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</si>
  <si>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</si>
  <si>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</si>
  <si>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</si>
  <si>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</si>
  <si>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</si>
  <si>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</si>
  <si>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</si>
  <si>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</si>
  <si>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</si>
  <si>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</si>
  <si>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</si>
  <si>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</si>
  <si>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</si>
  <si>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</si>
  <si>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</si>
  <si>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</si>
  <si>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</si>
  <si>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</si>
  <si>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</si>
  <si>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</si>
  <si>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</si>
  <si>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</si>
  <si>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</si>
  <si>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</si>
  <si>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</si>
  <si>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</si>
  <si>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</si>
  <si>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</si>
  <si>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</si>
  <si>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</si>
  <si>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</si>
  <si>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</si>
  <si>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</si>
  <si>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</si>
  <si>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</si>
  <si>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</si>
  <si>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</si>
  <si>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</si>
  <si>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</si>
  <si>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</si>
  <si>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</si>
  <si>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</si>
  <si>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</si>
  <si>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</si>
  <si>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</si>
  <si>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</si>
  <si>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</si>
  <si>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</si>
  <si>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</si>
  <si>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</si>
  <si>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</si>
  <si>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</si>
  <si>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</si>
  <si>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</si>
  <si>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</si>
  <si>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</si>
  <si>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</si>
  <si>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</si>
  <si>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</si>
  <si>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</si>
  <si>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</si>
  <si>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</si>
  <si>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</si>
  <si>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</si>
  <si>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</si>
  <si>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</si>
  <si>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</si>
  <si>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</si>
  <si>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</si>
  <si>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</si>
  <si>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</si>
  <si>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</si>
  <si>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</si>
  <si>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</si>
  <si>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</si>
  <si>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</si>
  <si>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</si>
  <si>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</si>
  <si>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</si>
  <si>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</si>
  <si>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</si>
  <si>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</si>
  <si>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</si>
  <si>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</si>
  <si>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</si>
  <si>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</si>
  <si>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</si>
  <si>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</si>
  <si>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</si>
  <si>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</si>
  <si>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</si>
  <si>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</si>
  <si>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</si>
  <si>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</si>
  <si>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</si>
  <si>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</si>
  <si>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</si>
  <si>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</si>
  <si>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</si>
  <si>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</si>
  <si>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</si>
  <si>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</si>
  <si>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</si>
  <si>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</si>
  <si>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</si>
  <si>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</si>
  <si>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</si>
  <si>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</si>
  <si>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</si>
  <si>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</si>
  <si>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</si>
  <si>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</si>
  <si>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</si>
  <si>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</si>
  <si>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</si>
  <si>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</si>
  <si>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</si>
  <si>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</si>
  <si>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</si>
  <si>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</si>
  <si>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</si>
  <si>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</si>
  <si>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</si>
  <si>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</si>
  <si>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</si>
  <si>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</si>
  <si>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</si>
  <si>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</si>
  <si>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</si>
  <si>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</si>
  <si>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</si>
  <si>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</si>
  <si>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</si>
  <si>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</si>
  <si>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</si>
  <si>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</si>
  <si>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</si>
  <si>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</si>
  <si>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</si>
  <si>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</si>
  <si>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</si>
  <si>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</si>
  <si>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</si>
  <si>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</si>
  <si>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</si>
  <si>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</si>
  <si>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</si>
  <si>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</si>
  <si>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</si>
  <si>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</si>
  <si>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</si>
  <si>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</si>
  <si>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</si>
  <si>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</si>
  <si>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</si>
  <si>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</si>
  <si>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</si>
  <si>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</si>
  <si>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</si>
  <si>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</si>
  <si>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</si>
  <si>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</si>
  <si>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</si>
  <si>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</si>
  <si>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</si>
  <si>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</si>
  <si>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</si>
  <si>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</si>
  <si>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</si>
  <si>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</si>
  <si>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</si>
  <si>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</si>
  <si>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</si>
  <si>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</si>
  <si>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</si>
  <si>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</si>
  <si>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</si>
  <si>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</si>
  <si>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</si>
  <si>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</si>
  <si>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</si>
  <si>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</si>
  <si>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</si>
  <si>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</si>
  <si>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</si>
  <si>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</si>
  <si>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</si>
  <si>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</si>
  <si>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</si>
  <si>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</si>
  <si>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</si>
  <si>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</si>
  <si>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</si>
  <si>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</si>
  <si>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</si>
  <si>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</si>
  <si>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</si>
  <si>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</si>
  <si>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</si>
  <si>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</si>
  <si>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</si>
  <si>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</si>
  <si>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</si>
  <si>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</si>
  <si>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</si>
  <si>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</si>
  <si>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</si>
  <si>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</si>
  <si>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</si>
  <si>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</si>
  <si>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</si>
  <si>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</si>
  <si>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</si>
  <si>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</si>
  <si>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</si>
  <si>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</si>
  <si>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</si>
  <si>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</si>
  <si>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</si>
  <si>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</si>
  <si>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</si>
  <si>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</si>
  <si>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</si>
  <si>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</si>
  <si>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</si>
  <si>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</si>
  <si>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</si>
  <si>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</si>
  <si>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</si>
  <si>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</si>
  <si>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</si>
  <si>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</si>
  <si>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</si>
  <si>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</si>
  <si>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</si>
  <si>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</si>
  <si>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</si>
  <si>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</si>
  <si>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</si>
  <si>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</si>
  <si>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</si>
  <si>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</si>
  <si>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</si>
  <si>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</si>
  <si>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</si>
  <si>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</si>
  <si>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</si>
  <si>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</si>
  <si>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</si>
  <si>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</si>
  <si>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</si>
  <si>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</si>
  <si>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</si>
  <si>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</si>
  <si>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</si>
  <si>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</si>
  <si>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</si>
  <si>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</si>
  <si>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</si>
  <si>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</si>
  <si>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</si>
  <si>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</si>
  <si>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</si>
  <si>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</si>
  <si>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</si>
  <si>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</si>
  <si>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</si>
  <si>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</si>
  <si>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</si>
  <si>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</si>
  <si>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</si>
  <si>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</si>
  <si>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</si>
  <si>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</si>
  <si>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</si>
  <si>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</si>
  <si>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</si>
  <si>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</si>
  <si>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</si>
  <si>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</si>
  <si>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</si>
  <si>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</si>
  <si>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</si>
  <si>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</si>
  <si>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</si>
  <si>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</si>
  <si>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</si>
  <si>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</si>
  <si>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</si>
  <si>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</si>
  <si>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</si>
  <si>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</si>
  <si>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</si>
  <si>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</si>
  <si>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</si>
  <si>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</si>
  <si>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</si>
  <si>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</si>
  <si>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</si>
  <si>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</si>
  <si>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</si>
  <si>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</si>
  <si>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</si>
  <si>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</si>
  <si>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</si>
  <si>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</si>
  <si>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</si>
  <si>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</si>
  <si>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</si>
  <si>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</si>
  <si>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</si>
  <si>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</si>
  <si>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</si>
  <si>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</si>
  <si>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</si>
  <si>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</si>
  <si>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</si>
  <si>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</si>
  <si>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</si>
  <si>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</si>
  <si>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</si>
  <si>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</si>
  <si>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</si>
  <si>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</si>
  <si>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</si>
  <si>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</si>
  <si>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</si>
  <si>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</si>
  <si>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</si>
  <si>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</si>
  <si>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</si>
  <si>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</si>
  <si>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</si>
  <si>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</si>
  <si>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</si>
  <si>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</si>
  <si>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</si>
  <si>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</si>
  <si>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</si>
  <si>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</si>
  <si>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</si>
  <si>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</si>
  <si>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</si>
  <si>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</si>
  <si>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</si>
  <si>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</si>
  <si>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</si>
  <si>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</si>
  <si>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</si>
  <si>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</si>
  <si>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</si>
  <si>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</si>
  <si>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</si>
  <si>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</si>
  <si>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</si>
  <si>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</si>
  <si>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</si>
  <si>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</si>
  <si>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</si>
  <si>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</si>
  <si>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</si>
  <si>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</si>
  <si>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</si>
  <si>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</si>
  <si>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</si>
  <si>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</si>
  <si>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</si>
  <si>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</si>
  <si>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</si>
  <si>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</si>
  <si>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</si>
  <si>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</si>
  <si>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</si>
  <si>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</si>
  <si>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</si>
  <si>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</si>
  <si>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</si>
  <si>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</si>
  <si>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</si>
  <si>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</si>
  <si>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</si>
  <si>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</si>
  <si>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</si>
  <si>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</si>
  <si>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</si>
  <si>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</si>
  <si>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</si>
  <si>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</si>
  <si>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</si>
  <si>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</si>
  <si>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</si>
  <si>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</si>
  <si>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</si>
  <si>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</si>
  <si>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</si>
  <si>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</si>
  <si>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</si>
  <si>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</si>
  <si>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</si>
  <si>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</si>
  <si>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</si>
  <si>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</si>
  <si>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</si>
  <si>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</si>
  <si>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</si>
  <si>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</si>
  <si>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</si>
  <si>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</si>
  <si>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</si>
  <si>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</si>
  <si>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</si>
  <si>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</si>
  <si>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</si>
  <si>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</si>
  <si>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</si>
  <si>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</si>
  <si>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</si>
  <si>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</si>
  <si>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</si>
  <si>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</si>
  <si>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</si>
  <si>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</si>
  <si>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</si>
  <si>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</si>
  <si>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</si>
  <si>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</si>
  <si>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</si>
  <si>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</si>
  <si>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</si>
  <si>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</si>
  <si>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</si>
  <si>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</si>
  <si>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</si>
  <si>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</si>
  <si>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</si>
  <si>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</si>
  <si>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</si>
  <si>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</si>
  <si>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</si>
  <si>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</si>
  <si>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</si>
  <si>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</si>
  <si>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</si>
  <si>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</si>
  <si>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</si>
  <si>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</si>
  <si>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</si>
  <si>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</si>
  <si>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</si>
  <si>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</si>
  <si>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</si>
  <si>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</si>
  <si>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</si>
  <si>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</si>
  <si>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</si>
  <si>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</si>
  <si>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</si>
  <si>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</si>
  <si>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</si>
  <si>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</si>
  <si>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</si>
  <si>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</si>
  <si>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</si>
  <si>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</si>
  <si>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</si>
  <si>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</si>
  <si>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</si>
  <si>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</si>
  <si>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</si>
  <si>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</si>
  <si>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</si>
  <si>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</si>
  <si>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</si>
  <si>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</si>
  <si>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</si>
  <si>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</si>
  <si>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</si>
  <si>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</si>
  <si>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</si>
  <si>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</si>
  <si>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</si>
  <si>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</si>
  <si>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</si>
  <si>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</si>
  <si>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</si>
  <si>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</si>
  <si>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</si>
  <si>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</si>
  <si>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</si>
  <si>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</si>
  <si>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</si>
  <si>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</si>
  <si>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</si>
  <si>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</si>
  <si>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</si>
  <si>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</si>
  <si>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</si>
  <si>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</si>
  <si>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</si>
  <si>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</si>
  <si>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</si>
  <si>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</si>
  <si>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</si>
  <si>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</si>
  <si>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</si>
  <si>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</si>
  <si>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</si>
  <si>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</si>
  <si>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</si>
  <si>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</si>
  <si>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</si>
  <si>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</si>
  <si>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</si>
  <si>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</si>
  <si>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</si>
  <si>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</si>
  <si>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</si>
  <si>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</si>
  <si>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</si>
  <si>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</si>
  <si>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</si>
  <si>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</si>
  <si>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</si>
  <si>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</si>
  <si>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</si>
  <si>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</si>
  <si>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</si>
  <si>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</si>
  <si>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</si>
  <si>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</si>
  <si>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</si>
  <si>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</si>
  <si>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</si>
  <si>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</si>
  <si>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</si>
  <si>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</si>
  <si>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</si>
  <si>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</si>
  <si>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</si>
  <si>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</si>
  <si>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</si>
  <si>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</si>
  <si>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</si>
  <si>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</si>
  <si>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</si>
  <si>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</si>
  <si>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</si>
  <si>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</si>
  <si>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</si>
  <si>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</si>
  <si>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</si>
  <si>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</si>
  <si>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</si>
  <si>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</si>
  <si>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</si>
  <si>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</si>
  <si>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</si>
  <si>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</si>
  <si>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</si>
  <si>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</si>
  <si>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</si>
  <si>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</si>
  <si>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</si>
  <si>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</si>
  <si>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</si>
  <si>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</si>
  <si>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</si>
  <si>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</si>
  <si>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</si>
  <si>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</si>
  <si>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</si>
  <si>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</si>
  <si>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</si>
  <si>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</si>
  <si>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</si>
  <si>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</si>
  <si>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</si>
  <si>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</si>
  <si>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</si>
  <si>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</si>
  <si>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</si>
  <si>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</si>
  <si>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</si>
  <si>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</si>
  <si>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</si>
  <si>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</si>
  <si>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</si>
  <si>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</si>
  <si>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</si>
  <si>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</si>
  <si>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</si>
  <si>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</si>
  <si>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</si>
  <si>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</si>
  <si>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</si>
  <si>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</si>
  <si>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</si>
  <si>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</si>
  <si>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</si>
  <si>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</si>
  <si>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</si>
  <si>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</si>
  <si>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</si>
  <si>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</si>
  <si>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</si>
  <si>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</si>
  <si>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</si>
  <si>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</si>
  <si>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</si>
  <si>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</si>
  <si>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</si>
  <si>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</si>
  <si>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</si>
  <si>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</si>
  <si>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</si>
  <si>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</si>
  <si>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</si>
  <si>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</si>
  <si>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</si>
  <si>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</si>
  <si>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</si>
  <si>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</si>
  <si>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</si>
  <si>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</si>
  <si>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</si>
  <si>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</si>
  <si>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</si>
  <si>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</si>
  <si>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</si>
  <si>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</si>
  <si>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</si>
  <si>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</si>
  <si>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</si>
  <si>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</si>
  <si>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</si>
  <si>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</si>
  <si>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</si>
  <si>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</si>
  <si>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</si>
  <si>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</si>
  <si>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</si>
  <si>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</si>
  <si>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</si>
  <si>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</si>
  <si>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</si>
  <si>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</si>
  <si>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</si>
  <si>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</si>
  <si>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</si>
  <si>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</si>
  <si>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</si>
  <si>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</si>
  <si>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</si>
  <si>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</si>
  <si>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</si>
  <si>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</si>
  <si>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</si>
  <si>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</si>
  <si>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</si>
  <si>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</si>
  <si>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</si>
  <si>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</si>
  <si>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</si>
  <si>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</si>
  <si>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</si>
  <si>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</si>
  <si>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</si>
  <si>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</si>
  <si>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</si>
  <si>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</si>
  <si>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</si>
  <si>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</si>
  <si>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</si>
  <si>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</si>
  <si>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</si>
  <si>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</si>
  <si>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</si>
  <si>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</si>
  <si>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</si>
  <si>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</si>
  <si>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</si>
  <si>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</si>
  <si>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</si>
  <si>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</si>
  <si>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</si>
  <si>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</si>
  <si>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</si>
  <si>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</si>
  <si>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</si>
  <si>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</si>
  <si>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</si>
  <si>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</si>
  <si>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</si>
  <si>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</si>
  <si>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</si>
  <si>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</si>
  <si>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</si>
  <si>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</si>
  <si>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</si>
  <si>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</si>
  <si>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</si>
  <si>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</si>
  <si>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</si>
  <si>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</si>
  <si>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</si>
  <si>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</si>
  <si>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</si>
  <si>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</si>
  <si>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</si>
  <si>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</si>
  <si>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</si>
  <si>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</si>
  <si>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</si>
  <si>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</si>
  <si>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</si>
  <si>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</si>
  <si>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</si>
  <si>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</si>
  <si>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</si>
  <si>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</si>
  <si>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</si>
  <si>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</si>
  <si>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</si>
  <si>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</si>
  <si>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</si>
  <si>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</si>
  <si>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</si>
  <si>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</si>
  <si>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</si>
  <si>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</si>
  <si>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</si>
  <si>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</si>
  <si>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</si>
  <si>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</si>
  <si>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</si>
  <si>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</si>
  <si>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</si>
  <si>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</si>
  <si>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</si>
  <si>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</si>
  <si>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</si>
  <si>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</si>
  <si>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</si>
  <si>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</si>
  <si>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</si>
  <si>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</si>
  <si>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</si>
  <si>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</si>
  <si>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</si>
  <si>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</si>
  <si>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</si>
  <si>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</si>
  <si>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</si>
  <si>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</si>
  <si>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</si>
  <si>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</si>
  <si>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</si>
  <si>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</si>
  <si>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</si>
  <si>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</si>
  <si>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</si>
  <si>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</si>
  <si>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</si>
  <si>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</si>
  <si>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</si>
  <si>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</si>
  <si>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</si>
  <si>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</si>
  <si>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</si>
  <si>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</si>
  <si>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</si>
  <si>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</si>
  <si>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</si>
  <si>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</si>
  <si>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</si>
  <si>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</si>
  <si>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</si>
  <si>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</si>
  <si>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</si>
  <si>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</si>
  <si>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</si>
  <si>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</si>
  <si>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</si>
  <si>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</si>
  <si>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</si>
  <si>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</si>
  <si>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</si>
  <si>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</si>
  <si>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</si>
  <si>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</si>
  <si>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</si>
  <si>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</si>
  <si>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</si>
  <si>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</si>
  <si>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</si>
  <si>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</si>
  <si>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</si>
  <si>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</si>
  <si>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</si>
  <si>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</si>
  <si>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</si>
  <si>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</si>
  <si>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</si>
  <si>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</si>
  <si>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</si>
  <si>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</si>
  <si>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</si>
  <si>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</si>
  <si>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</si>
  <si>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</si>
  <si>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</si>
  <si>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</si>
  <si>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</si>
  <si>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</si>
  <si>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</si>
  <si>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</si>
  <si>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</si>
  <si>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</si>
  <si>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</si>
  <si>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</si>
  <si>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</si>
  <si>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</si>
  <si>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</si>
  <si>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</si>
  <si>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</si>
  <si>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</si>
  <si>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</si>
  <si>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</si>
  <si>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</si>
  <si>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</si>
  <si>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</si>
  <si>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</si>
  <si>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</si>
  <si>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</si>
  <si>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</si>
  <si>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</si>
  <si>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</si>
  <si>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</si>
  <si>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</si>
  <si>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</si>
  <si>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</si>
  <si>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</si>
  <si>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</si>
  <si>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</si>
  <si>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</si>
  <si>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</si>
  <si>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</si>
  <si>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</si>
  <si>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</si>
  <si>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</si>
  <si>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</si>
  <si>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</si>
  <si>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</si>
  <si>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</si>
  <si>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</si>
  <si>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</si>
  <si>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</si>
  <si>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</si>
  <si>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</si>
  <si>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</si>
  <si>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</si>
  <si>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</si>
  <si>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</si>
  <si>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</si>
  <si>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</si>
  <si>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</si>
  <si>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</si>
  <si>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</si>
  <si>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</si>
  <si>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</si>
  <si>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</si>
  <si>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</si>
  <si>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</si>
  <si>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</si>
  <si>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</si>
  <si>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</si>
  <si>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</si>
  <si>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</si>
  <si>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</si>
  <si>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</si>
  <si>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</si>
  <si>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</si>
  <si>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</si>
  <si>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</si>
  <si>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</si>
  <si>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</si>
  <si>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</si>
  <si>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</si>
  <si>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</si>
  <si>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</si>
  <si>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</si>
  <si>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</si>
  <si>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</si>
  <si>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</si>
  <si>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</si>
  <si>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</si>
  <si>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</si>
  <si>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</si>
  <si>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</si>
  <si>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</si>
  <si>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</si>
  <si>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</si>
  <si>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</si>
  <si>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</si>
  <si>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</si>
  <si>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</si>
  <si>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</si>
  <si>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</si>
  <si>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</si>
  <si>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</si>
  <si>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</si>
  <si>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</si>
  <si>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</si>
  <si>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</si>
  <si>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</si>
  <si>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</si>
  <si>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</si>
  <si>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</si>
  <si>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</si>
  <si>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</si>
  <si>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</si>
  <si>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</si>
  <si>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</si>
  <si>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</si>
  <si>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</si>
  <si>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</si>
  <si>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</si>
  <si>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</si>
  <si>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</si>
  <si>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</si>
  <si>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</si>
  <si>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</si>
  <si>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</si>
  <si>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</si>
  <si>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</si>
  <si>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</si>
  <si>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</si>
  <si>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</si>
  <si>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</si>
  <si>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</si>
  <si>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</si>
  <si>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</si>
  <si>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</si>
  <si>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</si>
  <si>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</si>
  <si>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</si>
  <si>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</si>
  <si>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</si>
  <si>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</si>
  <si>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</si>
  <si>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</si>
  <si>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</si>
  <si>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</si>
  <si>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</si>
  <si>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</si>
  <si>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</si>
  <si>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</si>
  <si>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</si>
  <si>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</si>
  <si>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</si>
  <si>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</si>
  <si>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</si>
  <si>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</si>
  <si>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</si>
  <si>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</si>
  <si>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</si>
  <si>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</si>
  <si>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</si>
  <si>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</si>
  <si>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</si>
  <si>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</si>
  <si>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</si>
  <si>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</si>
  <si>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</si>
  <si>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</si>
  <si>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</si>
  <si>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</si>
  <si>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</si>
  <si>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</si>
  <si>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</si>
  <si>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</si>
  <si>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</si>
  <si>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</si>
  <si>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</si>
  <si>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</si>
  <si>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</si>
  <si>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</si>
  <si>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</si>
  <si>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</si>
  <si>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</si>
  <si>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</si>
  <si>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</si>
  <si>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</si>
  <si>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</si>
  <si>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</si>
  <si>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</si>
  <si>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</si>
  <si>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</si>
  <si>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</si>
  <si>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</si>
  <si>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</si>
  <si>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</si>
  <si>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</si>
  <si>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</si>
  <si>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</si>
  <si>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</si>
  <si>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</si>
  <si>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</si>
  <si>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</si>
  <si>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</si>
  <si>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</si>
  <si>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</si>
  <si>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</si>
  <si>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</si>
  <si>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</si>
  <si>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</si>
  <si>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</si>
  <si>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</si>
  <si>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</si>
  <si>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</si>
  <si>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</si>
  <si>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</si>
  <si>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</si>
  <si>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</si>
  <si>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</si>
  <si>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</si>
  <si>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</si>
  <si>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</si>
  <si>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</si>
  <si>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</si>
  <si>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</si>
  <si>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</si>
  <si>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</si>
  <si>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</si>
  <si>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</si>
  <si>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</si>
  <si>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</si>
  <si>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</si>
  <si>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</si>
  <si>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</si>
  <si>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</si>
  <si>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</si>
  <si>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</si>
  <si>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</si>
  <si>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</si>
  <si>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</si>
  <si>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</si>
  <si>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</si>
  <si>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</si>
  <si>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</si>
  <si>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</si>
  <si>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</si>
  <si>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</si>
  <si>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</si>
  <si>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</si>
  <si>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</si>
  <si>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</si>
  <si>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</si>
  <si>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</si>
  <si>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</si>
  <si>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</si>
  <si>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</si>
  <si>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</si>
  <si>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</si>
  <si>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</si>
  <si>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</si>
  <si>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</si>
  <si>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</si>
  <si>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</si>
  <si>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</si>
  <si>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</si>
  <si>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</si>
  <si>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</si>
  <si>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</si>
  <si>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</si>
  <si>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</si>
  <si>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</si>
  <si>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</si>
  <si>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</si>
  <si>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</si>
  <si>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</si>
  <si>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</si>
  <si>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</si>
  <si>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</si>
  <si>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</si>
  <si>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</si>
  <si>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</si>
  <si>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</si>
  <si>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</si>
  <si>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</si>
  <si>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</si>
  <si>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</si>
  <si>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</si>
  <si>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</si>
  <si>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</si>
  <si>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</si>
  <si>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</si>
  <si>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</si>
  <si>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</si>
  <si>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</si>
  <si>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</si>
  <si>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</si>
  <si>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</si>
  <si>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</si>
  <si>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</si>
  <si>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</si>
  <si>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</si>
  <si>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</si>
  <si>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</si>
  <si>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</si>
  <si>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</si>
  <si>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</si>
  <si>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</si>
  <si>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</si>
  <si>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</si>
  <si>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</si>
  <si>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</si>
  <si>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</si>
  <si>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</si>
  <si>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</si>
  <si>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</si>
  <si>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</si>
  <si>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</si>
  <si>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</si>
  <si>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</si>
  <si>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</si>
  <si>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</si>
  <si>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</si>
  <si>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</si>
  <si>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</si>
  <si>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</si>
  <si>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</si>
  <si>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</si>
  <si>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</si>
  <si>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</si>
  <si>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</si>
  <si>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</si>
  <si>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</si>
  <si>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</si>
  <si>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</si>
  <si>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</si>
  <si>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</si>
  <si>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</si>
  <si>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</si>
  <si>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</si>
  <si>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</si>
  <si>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</si>
  <si>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</si>
  <si>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</si>
  <si>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</si>
  <si>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</si>
  <si>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</si>
  <si>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</si>
  <si>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</si>
  <si>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</si>
  <si>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</si>
  <si>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</si>
  <si>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</si>
  <si>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</si>
  <si>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</si>
  <si>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</si>
  <si>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</si>
  <si>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</si>
  <si>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</si>
  <si>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</si>
  <si>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</si>
  <si>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</si>
  <si>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</si>
  <si>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</si>
  <si>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</si>
  <si>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</si>
  <si>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</si>
  <si>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</si>
  <si>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</si>
  <si>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</si>
  <si>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</si>
  <si>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</si>
  <si>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</si>
  <si>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</si>
  <si>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</si>
  <si>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</si>
  <si>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</si>
  <si>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</si>
  <si>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</si>
  <si>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</si>
  <si>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</si>
  <si>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</si>
  <si>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</si>
  <si>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</si>
  <si>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</si>
  <si>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</si>
  <si>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</si>
  <si>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</si>
  <si>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</si>
  <si>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</si>
  <si>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</si>
  <si>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</si>
  <si>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</si>
  <si>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</si>
  <si>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</si>
  <si>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</si>
  <si>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</si>
  <si>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</si>
  <si>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</si>
  <si>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</si>
  <si>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</si>
  <si>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</si>
  <si>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</si>
  <si>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</si>
  <si>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</si>
  <si>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</si>
  <si>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</si>
  <si>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</si>
  <si>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</si>
  <si>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</si>
  <si>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</si>
  <si>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</si>
  <si>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</si>
  <si>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</si>
  <si>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</si>
  <si>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</si>
  <si>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</si>
  <si>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</si>
  <si>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</si>
  <si>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</si>
  <si>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</si>
  <si>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</si>
  <si>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</si>
  <si>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</si>
  <si>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</si>
  <si>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</si>
  <si>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</si>
  <si>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</si>
  <si>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</si>
  <si>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</si>
  <si>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</si>
  <si>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</si>
  <si>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</si>
  <si>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</si>
  <si>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</si>
  <si>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</si>
  <si>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</si>
  <si>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</si>
  <si>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</si>
  <si>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</si>
  <si>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</si>
  <si>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</si>
  <si>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</si>
  <si>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</si>
  <si>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</si>
  <si>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</si>
  <si>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</si>
  <si>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</si>
  <si>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</si>
  <si>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</si>
  <si>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</si>
  <si>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</si>
  <si>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</si>
  <si>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</si>
  <si>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</si>
  <si>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</si>
  <si>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</si>
  <si>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</si>
  <si>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</si>
  <si>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</si>
  <si>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</si>
  <si>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</si>
  <si>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</si>
  <si>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</si>
  <si>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</si>
  <si>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</si>
  <si>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</si>
  <si>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</si>
  <si>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</si>
  <si>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</si>
  <si>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</si>
  <si>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</si>
  <si>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</si>
  <si>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</si>
  <si>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</si>
  <si>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</si>
  <si>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</si>
  <si>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</si>
  <si>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</si>
  <si>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</si>
  <si>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</si>
  <si>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</si>
  <si>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</si>
  <si>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</si>
  <si>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</si>
  <si>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</si>
  <si>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</si>
  <si>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</si>
  <si>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</si>
  <si>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</si>
  <si>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</si>
  <si>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</si>
  <si>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</si>
  <si>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</si>
  <si>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</si>
  <si>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</si>
  <si>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</si>
  <si>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</si>
  <si>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</si>
  <si>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</si>
  <si>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</si>
  <si>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</si>
  <si>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</si>
  <si>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</si>
  <si>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</si>
  <si>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</si>
  <si>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</si>
  <si>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</si>
  <si>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</si>
  <si>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</si>
  <si>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</si>
  <si>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</si>
  <si>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</si>
  <si>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</si>
  <si>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</si>
  <si>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</si>
  <si>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</si>
  <si>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</si>
  <si>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</si>
  <si>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</si>
  <si>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</si>
  <si>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</si>
  <si>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</si>
  <si>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</si>
  <si>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</si>
  <si>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</si>
  <si>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</si>
  <si>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</si>
  <si>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</si>
  <si>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</si>
  <si>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</si>
  <si>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</si>
  <si>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</si>
  <si>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</si>
  <si>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</si>
  <si>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</si>
  <si>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</si>
  <si>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</si>
  <si>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</si>
  <si>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</si>
  <si>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</si>
  <si>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</si>
  <si>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</si>
  <si>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</si>
  <si>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</si>
  <si>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</si>
  <si>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</si>
  <si>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</si>
  <si>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</si>
  <si>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</si>
  <si>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</si>
  <si>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</si>
  <si>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</si>
  <si>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</si>
  <si>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</si>
  <si>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</si>
  <si>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</si>
  <si>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</si>
  <si>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</si>
  <si>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</si>
  <si>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</si>
  <si>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</si>
  <si>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</si>
  <si>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</si>
  <si>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</si>
  <si>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</si>
  <si>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</si>
  <si>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</si>
  <si>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</si>
  <si>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</si>
  <si>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</si>
  <si>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</si>
  <si>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</si>
  <si>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</si>
  <si>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</si>
  <si>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</si>
  <si>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</si>
  <si>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</si>
  <si>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</si>
  <si>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</si>
  <si>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</si>
  <si>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</si>
  <si>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</si>
  <si>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</si>
  <si>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</si>
  <si>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</si>
  <si>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</si>
  <si>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</si>
  <si>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</si>
  <si>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</si>
  <si>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</si>
  <si>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</si>
  <si>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</si>
  <si>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</si>
  <si>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</si>
  <si>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</si>
  <si>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</si>
  <si>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</si>
  <si>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</si>
  <si>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</si>
  <si>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</si>
  <si>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</si>
  <si>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</si>
  <si>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</si>
  <si>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</si>
  <si>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</si>
  <si>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</si>
  <si>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</si>
  <si>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</si>
  <si>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</si>
  <si>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</si>
  <si>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</si>
  <si>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</si>
  <si>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</si>
  <si>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</si>
  <si>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</si>
  <si>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</si>
  <si>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</si>
  <si>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</si>
  <si>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</si>
  <si>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</si>
  <si>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</si>
  <si>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</si>
  <si>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</si>
  <si>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</si>
  <si>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</si>
  <si>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</si>
  <si>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</si>
  <si>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</si>
  <si>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</si>
  <si>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</si>
  <si>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</si>
  <si>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</si>
  <si>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</si>
  <si>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</si>
  <si>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</si>
  <si>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</si>
  <si>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</si>
  <si>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</si>
  <si>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</si>
  <si>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</si>
  <si>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</si>
  <si>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</si>
  <si>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</si>
  <si>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</si>
  <si>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</si>
  <si>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</si>
  <si>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</si>
  <si>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</si>
  <si>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</si>
  <si>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</si>
  <si>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</si>
  <si>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</si>
  <si>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</si>
  <si>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</si>
  <si>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</si>
  <si>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</si>
  <si>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</si>
  <si>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</si>
  <si>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</si>
  <si>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</si>
  <si>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</si>
  <si>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</si>
  <si>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</si>
  <si>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</si>
  <si>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</si>
  <si>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</si>
  <si>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</si>
  <si>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</si>
  <si>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</si>
  <si>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</si>
  <si>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</si>
  <si>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</si>
  <si>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</si>
  <si>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</si>
  <si>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</si>
  <si>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</si>
  <si>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</si>
  <si>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</si>
  <si>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</si>
  <si>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</si>
  <si>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</si>
  <si>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</si>
  <si>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</si>
  <si>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</si>
  <si>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</si>
  <si>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</si>
  <si>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</si>
  <si>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</si>
  <si>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</si>
  <si>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</si>
  <si>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</si>
  <si>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</si>
  <si>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</si>
  <si>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</si>
  <si>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</si>
  <si>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</si>
  <si>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</si>
  <si>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</si>
  <si>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</si>
  <si>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</si>
  <si>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</si>
  <si>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</si>
  <si>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</si>
  <si>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</si>
  <si>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</si>
  <si>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</si>
  <si>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</si>
  <si>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</si>
  <si>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</si>
  <si>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</si>
  <si>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</si>
  <si>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</si>
  <si>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</si>
  <si>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</si>
  <si>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</si>
  <si>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</si>
  <si>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</si>
  <si>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</si>
  <si>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</si>
  <si>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</si>
  <si>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</si>
  <si>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</si>
  <si>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</si>
  <si>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</si>
  <si>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</si>
  <si>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</si>
  <si>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</si>
  <si>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</si>
  <si>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</si>
  <si>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</si>
  <si>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</si>
  <si>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</si>
  <si>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</si>
  <si>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</si>
  <si>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</si>
  <si>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</si>
  <si>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</si>
  <si>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</si>
  <si>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</si>
  <si>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</si>
  <si>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</si>
  <si>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</si>
  <si>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</si>
  <si>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</si>
  <si>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</si>
  <si>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</si>
  <si>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</si>
  <si>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</si>
  <si>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</si>
  <si>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</si>
  <si>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</si>
  <si>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</si>
  <si>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</si>
  <si>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</si>
  <si>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</si>
  <si>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</si>
  <si>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</si>
  <si>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</si>
  <si>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</si>
  <si>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</si>
  <si>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</si>
  <si>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</si>
  <si>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</si>
  <si>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</si>
  <si>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</si>
  <si>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</si>
  <si>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</si>
  <si>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</si>
  <si>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</si>
  <si>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</si>
  <si>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</si>
  <si>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</si>
  <si>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</si>
  <si>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</si>
  <si>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</si>
  <si>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</si>
  <si>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</si>
  <si>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</si>
  <si>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</si>
  <si>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</si>
  <si>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</si>
  <si>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</si>
  <si>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</si>
  <si>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</si>
  <si>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</si>
  <si>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</si>
  <si>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</si>
  <si>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</si>
  <si>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</si>
  <si>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</si>
  <si>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</si>
  <si>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</si>
  <si>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</si>
  <si>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</si>
  <si>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</si>
  <si>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</si>
  <si>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</si>
  <si>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</si>
  <si>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</si>
  <si>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</si>
  <si>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</si>
  <si>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</si>
  <si>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</si>
  <si>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</si>
  <si>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</si>
  <si>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</si>
  <si>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</si>
  <si>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</si>
  <si>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</si>
  <si>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</si>
  <si>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</si>
  <si>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</si>
  <si>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</si>
  <si>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</si>
  <si>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</si>
  <si>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</si>
  <si>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</si>
  <si>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</si>
  <si>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</si>
  <si>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</si>
  <si>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</si>
  <si>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</si>
  <si>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</si>
  <si>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</si>
  <si>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</si>
  <si>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</si>
  <si>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</si>
  <si>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</si>
  <si>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</si>
  <si>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</si>
  <si>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</si>
  <si>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</si>
  <si>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</si>
  <si>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</si>
  <si>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</si>
  <si>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</si>
  <si>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</si>
  <si>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</si>
  <si>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</si>
  <si>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</si>
  <si>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</si>
  <si>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</si>
  <si>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</si>
  <si>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</si>
  <si>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</si>
  <si>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</si>
  <si>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</si>
  <si>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</si>
  <si>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</si>
  <si>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</si>
  <si>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</si>
  <si>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</si>
  <si>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</si>
  <si>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</si>
  <si>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</si>
  <si>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</si>
  <si>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</si>
  <si>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</si>
  <si>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</si>
  <si>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</si>
  <si>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</si>
  <si>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</si>
  <si>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</si>
  <si>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</si>
  <si>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</si>
  <si>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</si>
  <si>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</si>
  <si>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</si>
  <si>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</si>
  <si>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</si>
  <si>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</si>
  <si>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</si>
  <si>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</si>
  <si>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</si>
  <si>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</si>
  <si>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</si>
  <si>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</si>
  <si>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</si>
  <si>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</si>
  <si>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</si>
  <si>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</si>
  <si>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</si>
  <si>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</si>
  <si>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</si>
  <si>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</si>
  <si>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</si>
  <si>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</si>
  <si>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</si>
  <si>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</si>
  <si>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</si>
  <si>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</si>
  <si>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</si>
  <si>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</si>
  <si>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</si>
  <si>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</si>
  <si>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</si>
  <si>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</si>
  <si>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</si>
  <si>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</si>
  <si>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</si>
  <si>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</si>
  <si>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</si>
  <si>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</si>
  <si>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</si>
  <si>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</si>
  <si>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</si>
  <si>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</si>
  <si>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</si>
  <si>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</si>
  <si>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</si>
  <si>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</si>
  <si>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</si>
  <si>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</si>
  <si>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</si>
  <si>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</si>
  <si>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</si>
  <si>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</si>
  <si>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</si>
  <si>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</si>
  <si>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</si>
  <si>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</si>
  <si>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</si>
  <si>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</si>
  <si>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</si>
  <si>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</si>
  <si>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</si>
  <si>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</si>
  <si>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</si>
  <si>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</si>
  <si>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</si>
  <si>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</si>
  <si>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</si>
  <si>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</si>
  <si>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</si>
  <si>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</si>
  <si>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</si>
  <si>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</si>
  <si>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</si>
  <si>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</si>
  <si>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</si>
  <si>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</si>
  <si>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</si>
  <si>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</si>
  <si>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</si>
  <si>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</si>
  <si>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</si>
  <si>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</si>
  <si>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</si>
  <si>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</si>
  <si>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</si>
  <si>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</si>
  <si>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</si>
  <si>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</si>
  <si>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</si>
  <si>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</si>
  <si>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</si>
  <si>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</si>
  <si>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</si>
  <si>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</si>
  <si>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</si>
  <si>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</si>
  <si>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</si>
  <si>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</si>
  <si>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</si>
  <si>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</si>
  <si>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</si>
  <si>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</si>
  <si>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</si>
  <si>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</si>
  <si>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</si>
  <si>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</si>
  <si>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</si>
  <si>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</si>
  <si>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</si>
  <si>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</si>
  <si>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</si>
  <si>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</si>
  <si>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</si>
  <si>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</si>
  <si>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</si>
  <si>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</si>
  <si>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</si>
  <si>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</si>
  <si>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</si>
  <si>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</si>
  <si>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</si>
  <si>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</si>
  <si>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</si>
  <si>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</si>
  <si>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</si>
  <si>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</si>
  <si>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</si>
  <si>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</si>
  <si>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</si>
  <si>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</si>
  <si>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</si>
  <si>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</si>
  <si>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</si>
  <si>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</si>
  <si>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</si>
  <si>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</si>
  <si>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</si>
  <si>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</si>
  <si>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</si>
  <si>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</si>
  <si>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</si>
  <si>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</si>
  <si>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</si>
  <si>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</si>
  <si>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</si>
  <si>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</si>
  <si>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</si>
  <si>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</si>
  <si>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</si>
  <si>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</si>
  <si>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</si>
  <si>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</si>
  <si>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</si>
  <si>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</si>
  <si>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</si>
  <si>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</si>
  <si>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</si>
  <si>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</si>
  <si>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</si>
  <si>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</si>
  <si>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</si>
  <si>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</si>
  <si>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</si>
  <si>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</si>
  <si>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</si>
  <si>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</si>
  <si>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</si>
  <si>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</si>
  <si>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</si>
  <si>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</si>
  <si>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</si>
  <si>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</si>
  <si>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</si>
  <si>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</si>
  <si>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</si>
  <si>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</si>
  <si>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</si>
  <si>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</si>
  <si>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</si>
  <si>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</si>
  <si>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</si>
  <si>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</si>
  <si>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</si>
  <si>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</si>
  <si>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</si>
  <si>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</si>
  <si>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</si>
  <si>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</si>
  <si>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</si>
  <si>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</si>
  <si>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</si>
  <si>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</si>
  <si>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</si>
  <si>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</si>
  <si>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</si>
  <si>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</si>
  <si>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</si>
  <si>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</si>
  <si>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</si>
  <si>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</si>
  <si>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</si>
  <si>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</si>
  <si>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</si>
  <si>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</si>
  <si>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</si>
  <si>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</si>
  <si>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</si>
  <si>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</si>
  <si>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</si>
  <si>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</si>
  <si>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</si>
  <si>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</si>
  <si>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</si>
  <si>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</si>
  <si>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</si>
  <si>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</si>
  <si>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</si>
  <si>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</si>
  <si>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</si>
  <si>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</si>
  <si>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</si>
  <si>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</si>
  <si>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</si>
  <si>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</si>
  <si>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</si>
  <si>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</si>
  <si>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</si>
  <si>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</si>
  <si>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</si>
  <si>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</si>
  <si>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</si>
  <si>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</si>
  <si>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</si>
  <si>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</si>
  <si>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</si>
  <si>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</si>
  <si>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</si>
  <si>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</si>
  <si>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</si>
  <si>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</si>
  <si>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</si>
  <si>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</si>
  <si>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</si>
  <si>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</si>
  <si>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</si>
  <si>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</si>
  <si>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</si>
  <si>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</si>
  <si>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</si>
  <si>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</si>
  <si>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</si>
  <si>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</si>
  <si>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</si>
  <si>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</si>
  <si>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</si>
  <si>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</si>
  <si>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</si>
  <si>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</si>
  <si>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</si>
  <si>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</si>
  <si>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</si>
  <si>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</si>
  <si>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</si>
  <si>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</si>
  <si>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</si>
  <si>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</si>
  <si>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</si>
  <si>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</si>
  <si>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</si>
  <si>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</si>
  <si>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</si>
  <si>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</si>
  <si>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</si>
  <si>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</si>
  <si>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</si>
  <si>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</si>
  <si>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</si>
  <si>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</si>
  <si>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</si>
  <si>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</si>
  <si>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</si>
  <si>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</si>
  <si>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</si>
  <si>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</si>
  <si>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</si>
  <si>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</si>
  <si>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</si>
  <si>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</si>
  <si>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</si>
  <si>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</si>
  <si>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</si>
  <si>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</si>
  <si>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</si>
  <si>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</si>
  <si>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</si>
  <si>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</si>
  <si>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</si>
  <si>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</si>
  <si>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</si>
  <si>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</si>
  <si>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</si>
  <si>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</si>
  <si>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</si>
  <si>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</si>
  <si>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</si>
  <si>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</si>
  <si>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</si>
  <si>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</si>
  <si>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</si>
  <si>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</si>
  <si>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</si>
  <si>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</si>
  <si>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</si>
  <si>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</si>
  <si>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</si>
  <si>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</si>
  <si>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</si>
  <si>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</si>
  <si>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</si>
  <si>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</si>
  <si>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</si>
  <si>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</si>
  <si>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</si>
  <si>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</si>
  <si>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</si>
  <si>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</si>
  <si>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</si>
  <si>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</si>
  <si>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</si>
  <si>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</si>
  <si>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</si>
  <si>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</si>
  <si>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</si>
  <si>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</si>
  <si>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</si>
  <si>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</si>
  <si>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</si>
  <si>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</si>
  <si>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</si>
  <si>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</si>
  <si>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</si>
  <si>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</si>
  <si>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</si>
  <si>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</si>
  <si>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</si>
  <si>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</si>
  <si>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</si>
  <si>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</si>
  <si>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</si>
  <si>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</si>
  <si>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</si>
  <si>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</si>
  <si>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</si>
  <si>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</si>
  <si>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</si>
  <si>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</si>
  <si>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</si>
  <si>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</si>
  <si>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</si>
  <si>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</si>
  <si>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</si>
  <si>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</si>
  <si>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</si>
  <si>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</si>
  <si>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</si>
  <si>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</si>
  <si>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</si>
  <si>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</si>
  <si>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</si>
  <si>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</si>
  <si>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</si>
  <si>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</si>
  <si>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</si>
  <si>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</si>
  <si>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</si>
  <si>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</si>
  <si>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</si>
  <si>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</si>
  <si>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</si>
  <si>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</si>
  <si>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</si>
  <si>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</si>
  <si>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</si>
  <si>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</si>
  <si>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</si>
  <si>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</si>
  <si>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</si>
  <si>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</si>
  <si>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</si>
  <si>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</si>
  <si>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</si>
  <si>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</si>
  <si>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</si>
  <si>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</si>
  <si>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</si>
  <si>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</si>
  <si>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</si>
  <si>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</si>
  <si>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</si>
  <si>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</si>
  <si>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</si>
  <si>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</si>
  <si>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</si>
  <si>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</si>
  <si>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</si>
  <si>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</si>
  <si>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</si>
  <si>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</si>
  <si>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</si>
  <si>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</si>
  <si>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</si>
  <si>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</si>
  <si>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</si>
  <si>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</si>
  <si>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</si>
  <si>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</si>
  <si>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</si>
  <si>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</si>
  <si>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</si>
  <si>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</si>
  <si>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</si>
  <si>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</si>
  <si>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</si>
  <si>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</si>
  <si>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</si>
  <si>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</si>
  <si>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</si>
  <si>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</si>
  <si>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</si>
  <si>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</si>
  <si>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</si>
  <si>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</si>
  <si>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</si>
  <si>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</si>
  <si>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</si>
  <si>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</si>
  <si>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</si>
  <si>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</si>
  <si>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</si>
  <si>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</si>
  <si>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</si>
  <si>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</si>
  <si>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</si>
  <si>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</si>
  <si>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</si>
  <si>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</si>
  <si>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</si>
  <si>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</si>
  <si>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</si>
  <si>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</si>
  <si>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</si>
  <si>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</si>
  <si>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</si>
  <si>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</si>
  <si>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</si>
  <si>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</si>
  <si>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</si>
  <si>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</si>
  <si>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</si>
  <si>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</si>
  <si>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</si>
  <si>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</si>
  <si>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</si>
  <si>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</si>
  <si>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</si>
  <si>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</si>
  <si>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</si>
  <si>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</si>
  <si>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</si>
  <si>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</si>
  <si>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</si>
  <si>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</si>
  <si>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</si>
  <si>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</si>
  <si>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</si>
  <si>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</si>
  <si>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</si>
  <si>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</si>
  <si>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</si>
  <si>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</si>
  <si>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</si>
  <si>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</si>
  <si>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</si>
  <si>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</si>
  <si>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</si>
  <si>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</si>
  <si>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</si>
  <si>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</si>
  <si>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</si>
  <si>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</si>
  <si>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</si>
  <si>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</si>
  <si>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</si>
  <si>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</si>
  <si>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</si>
  <si>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</si>
  <si>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</si>
  <si>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</si>
  <si>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</si>
  <si>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</si>
  <si>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</si>
  <si>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</si>
  <si>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</si>
  <si>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</si>
  <si>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</si>
  <si>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</si>
  <si>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</si>
  <si>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</si>
  <si>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</si>
  <si>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</si>
  <si>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</si>
  <si>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</si>
  <si>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</si>
  <si>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</si>
  <si>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</si>
  <si>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</si>
  <si>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</si>
  <si>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</si>
  <si>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</si>
  <si>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</si>
  <si>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</si>
  <si>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</si>
  <si>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</si>
  <si>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</si>
  <si>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</si>
  <si>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</si>
  <si>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</si>
  <si>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</si>
  <si>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</si>
  <si>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</si>
  <si>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</si>
  <si>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</si>
  <si>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</si>
  <si>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</si>
  <si>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</si>
  <si>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</si>
  <si>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</si>
  <si>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</si>
  <si>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</si>
  <si>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</si>
  <si>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</si>
  <si>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</si>
  <si>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</si>
  <si>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</si>
  <si>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</si>
  <si>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</si>
  <si>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</si>
  <si>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</si>
  <si>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</si>
  <si>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</si>
  <si>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</si>
  <si>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</si>
  <si>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</si>
  <si>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</si>
  <si>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</si>
  <si>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</si>
  <si>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</si>
  <si>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</si>
  <si>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</si>
  <si>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</si>
  <si>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</si>
  <si>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</si>
  <si>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</si>
  <si>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</si>
  <si>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</si>
  <si>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</si>
  <si>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</si>
  <si>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</si>
  <si>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</si>
  <si>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</si>
  <si>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</si>
  <si>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</si>
  <si>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</si>
  <si>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</si>
  <si>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</si>
  <si>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</si>
  <si>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</si>
  <si>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</si>
  <si>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</si>
  <si>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</si>
  <si>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</si>
  <si>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</si>
  <si>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</si>
  <si>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</si>
  <si>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</si>
  <si>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</si>
  <si>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</si>
  <si>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</si>
  <si>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</si>
  <si>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</si>
  <si>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</si>
  <si>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</si>
  <si>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</si>
  <si>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</si>
  <si>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</si>
  <si>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</si>
  <si>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</si>
  <si>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</si>
  <si>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</si>
  <si>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</si>
  <si>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</si>
  <si>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</si>
  <si>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</si>
  <si>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</si>
  <si>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</si>
  <si>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</si>
  <si>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</si>
  <si>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</si>
  <si>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</si>
  <si>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</si>
  <si>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</si>
  <si>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</si>
  <si>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</si>
  <si>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</si>
  <si>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</si>
  <si>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</si>
  <si>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</si>
  <si>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</si>
  <si>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</si>
  <si>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</si>
  <si>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</si>
  <si>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</si>
  <si>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</si>
  <si>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</si>
  <si>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</si>
  <si>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</si>
  <si>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</si>
  <si>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</si>
  <si>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</si>
  <si>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</si>
  <si>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</si>
  <si>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</si>
  <si>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</si>
  <si>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</si>
  <si>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</si>
  <si>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</si>
  <si>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</si>
  <si>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</si>
  <si>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</si>
  <si>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</si>
  <si>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</si>
  <si>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</si>
  <si>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</si>
  <si>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</si>
  <si>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</si>
  <si>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</si>
  <si>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</si>
  <si>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</si>
  <si>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</si>
  <si>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</si>
  <si>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</si>
  <si>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</si>
  <si>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</si>
  <si>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</si>
  <si>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</si>
  <si>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</si>
  <si>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</si>
  <si>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</si>
  <si>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</si>
  <si>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</si>
  <si>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</si>
  <si>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</si>
  <si>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</si>
  <si>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</si>
  <si>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</si>
  <si>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</si>
  <si>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</si>
  <si>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</si>
  <si>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</si>
  <si>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</si>
  <si>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</si>
  <si>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</si>
  <si>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</si>
  <si>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</si>
  <si>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</si>
  <si>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</si>
  <si>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</si>
  <si>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</si>
  <si>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</si>
  <si>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</si>
  <si>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</si>
  <si>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</si>
  <si>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</si>
  <si>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</si>
  <si>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</si>
  <si>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</si>
  <si>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</si>
  <si>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</si>
  <si>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</si>
  <si>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</si>
  <si>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</si>
  <si>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</si>
  <si>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</si>
  <si>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</si>
  <si>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</si>
  <si>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</si>
  <si>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</si>
  <si>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</si>
  <si>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</si>
  <si>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</si>
  <si>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</si>
  <si>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</si>
  <si>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</si>
  <si>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</si>
  <si>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</si>
  <si>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</si>
  <si>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</si>
  <si>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</si>
  <si>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</si>
  <si>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</si>
  <si>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</si>
  <si>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</si>
  <si>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</si>
  <si>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</si>
  <si>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</si>
  <si>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</si>
  <si>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</si>
  <si>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</si>
  <si>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</si>
  <si>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</si>
  <si>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</si>
  <si>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</si>
  <si>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</si>
  <si>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</si>
  <si>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</si>
  <si>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</si>
  <si>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</si>
  <si>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</si>
  <si>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</si>
  <si>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</si>
  <si>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</si>
  <si>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</si>
  <si>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</si>
  <si>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</si>
  <si>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</si>
  <si>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</si>
  <si>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</si>
  <si>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</si>
  <si>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</si>
  <si>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</si>
  <si>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</si>
  <si>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</si>
  <si>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</si>
  <si>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</si>
  <si>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</si>
  <si>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</si>
  <si>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</si>
  <si>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</si>
  <si>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</si>
  <si>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</si>
  <si>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</si>
  <si>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</si>
  <si>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</si>
  <si>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</si>
  <si>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</si>
  <si>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</si>
  <si>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</si>
  <si>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</si>
  <si>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</si>
  <si>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</si>
  <si>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</si>
  <si>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</si>
  <si>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</si>
  <si>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</si>
  <si>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</si>
  <si>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</si>
  <si>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</si>
  <si>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</si>
  <si>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</si>
  <si>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</si>
  <si>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</si>
  <si>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</si>
  <si>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</si>
  <si>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</si>
  <si>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</si>
  <si>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</si>
  <si>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</si>
  <si>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</si>
  <si>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</si>
  <si>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</si>
  <si>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</si>
  <si>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</si>
  <si>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</si>
  <si>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</si>
  <si>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</si>
  <si>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</si>
  <si>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</si>
  <si>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</si>
  <si>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</si>
  <si>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</si>
  <si>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</si>
  <si>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</si>
  <si>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</si>
  <si>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</si>
  <si>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</si>
  <si>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</si>
  <si>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</si>
  <si>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</si>
  <si>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</si>
  <si>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</si>
  <si>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</si>
  <si>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</si>
  <si>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</si>
  <si>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</si>
  <si>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</si>
  <si>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</si>
  <si>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</si>
  <si>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</si>
  <si>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</si>
  <si>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</si>
  <si>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</si>
  <si>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</si>
  <si>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</si>
  <si>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</si>
  <si>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</si>
  <si>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</si>
  <si>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</si>
  <si>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</si>
  <si>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</si>
  <si>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</si>
  <si>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</si>
  <si>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</si>
  <si>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</si>
  <si>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</si>
  <si>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</si>
  <si>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</si>
  <si>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</si>
  <si>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</si>
  <si>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</si>
  <si>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</si>
  <si>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</si>
  <si>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</si>
  <si>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</si>
  <si>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</si>
  <si>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</si>
  <si>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</si>
  <si>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</si>
  <si>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</si>
  <si>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</si>
  <si>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</si>
  <si>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</si>
  <si>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</si>
  <si>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</si>
  <si>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</si>
  <si>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</si>
  <si>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</si>
  <si>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</si>
  <si>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</si>
  <si>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</si>
  <si>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</si>
  <si>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</si>
  <si>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</si>
  <si>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</si>
  <si>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</si>
  <si>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</si>
  <si>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</si>
  <si>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</si>
  <si>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</si>
  <si>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</si>
  <si>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</si>
  <si>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</si>
  <si>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</si>
  <si>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</si>
  <si>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</si>
  <si>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</si>
  <si>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</si>
  <si>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</si>
  <si>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</si>
  <si>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</si>
  <si>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</si>
  <si>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</si>
  <si>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</si>
  <si>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</si>
  <si>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</si>
  <si>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</si>
  <si>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</si>
  <si>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</si>
  <si>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</si>
  <si>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</si>
  <si>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</si>
  <si>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</si>
  <si>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</si>
  <si>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</si>
  <si>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</si>
  <si>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</si>
  <si>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</si>
  <si>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</si>
  <si>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</si>
  <si>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</si>
  <si>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</si>
  <si>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</si>
  <si>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</si>
  <si>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</si>
  <si>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</si>
  <si>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</si>
  <si>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</si>
  <si>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</si>
  <si>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</si>
  <si>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</si>
  <si>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</si>
  <si>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</si>
  <si>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</si>
  <si>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</si>
  <si>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</si>
  <si>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</si>
  <si>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</si>
  <si>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</si>
  <si>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</si>
  <si>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</si>
  <si>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</si>
  <si>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</si>
  <si>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</si>
  <si>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</si>
  <si>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</si>
  <si>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</si>
  <si>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</si>
  <si>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</si>
  <si>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</si>
  <si>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</si>
  <si>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</si>
  <si>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</si>
  <si>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</si>
  <si>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</si>
  <si>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</si>
  <si>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</si>
  <si>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</si>
  <si>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</si>
  <si>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</si>
  <si>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</si>
  <si>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</si>
  <si>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</si>
  <si>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</si>
  <si>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</si>
  <si>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</si>
  <si>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</si>
  <si>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</si>
  <si>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</si>
  <si>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</si>
  <si>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</si>
  <si>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</si>
  <si>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</si>
  <si>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</si>
  <si>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</si>
  <si>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</si>
  <si>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</si>
  <si>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</si>
  <si>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</si>
  <si>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</si>
  <si>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</si>
  <si>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</si>
  <si>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</si>
  <si>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</si>
  <si>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</si>
  <si>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</si>
  <si>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</si>
  <si>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</si>
  <si>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</si>
  <si>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</si>
  <si>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</si>
  <si>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</si>
  <si>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</si>
  <si>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</si>
  <si>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</si>
  <si>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</si>
  <si>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</si>
  <si>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</si>
  <si>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</si>
  <si>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</si>
  <si>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</si>
  <si>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</si>
  <si>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</si>
  <si>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</si>
  <si>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</si>
  <si>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</si>
  <si>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</si>
  <si>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</si>
  <si>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</si>
  <si>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</si>
  <si>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</si>
  <si>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</si>
  <si>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</si>
  <si>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</si>
  <si>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</si>
  <si>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</si>
  <si>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</si>
  <si>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</si>
  <si>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</si>
  <si>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</si>
  <si>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</si>
  <si>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</si>
  <si>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</si>
  <si>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</si>
  <si>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</si>
  <si>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</si>
  <si>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</si>
  <si>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</si>
  <si>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</si>
  <si>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</si>
  <si>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</si>
  <si>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</si>
  <si>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</si>
  <si>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</si>
  <si>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</si>
  <si>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</si>
  <si>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</si>
  <si>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</si>
  <si>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</si>
  <si>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</si>
  <si>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</si>
  <si>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</si>
  <si>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</si>
  <si>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</si>
  <si>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</si>
  <si>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</si>
  <si>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</si>
  <si>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</si>
  <si>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</si>
  <si>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</si>
  <si>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</si>
  <si>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</si>
  <si>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</si>
  <si>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</si>
  <si>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</si>
  <si>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</si>
  <si>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</si>
  <si>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</si>
  <si>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</si>
  <si>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</si>
  <si>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</si>
  <si>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</si>
  <si>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</si>
  <si>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</si>
  <si>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</si>
  <si>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</si>
  <si>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</si>
  <si>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</si>
  <si>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</si>
  <si>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</si>
  <si>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</si>
  <si>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</si>
  <si>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</si>
  <si>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</si>
  <si>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</si>
  <si>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</si>
  <si>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</si>
  <si>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</si>
  <si>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</si>
  <si>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</si>
  <si>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</si>
  <si>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</si>
  <si>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</si>
  <si>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</si>
  <si>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</si>
  <si>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</si>
  <si>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</si>
  <si>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</si>
  <si>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</si>
  <si>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</si>
  <si>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</si>
  <si>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</si>
  <si>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</si>
  <si>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</si>
  <si>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</si>
  <si>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</si>
  <si>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</si>
  <si>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</si>
  <si>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</si>
  <si>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</si>
  <si>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</si>
  <si>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</si>
  <si>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</si>
  <si>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</si>
  <si>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</si>
  <si>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</si>
  <si>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</si>
  <si>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</si>
  <si>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</si>
  <si>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</si>
  <si>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</si>
  <si>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</si>
  <si>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</si>
  <si>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</si>
  <si>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</si>
  <si>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</si>
  <si>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</si>
  <si>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</si>
  <si>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</si>
  <si>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</si>
  <si>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</si>
  <si>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</si>
  <si>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</si>
  <si>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</si>
  <si>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</si>
  <si>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</si>
  <si>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</si>
  <si>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</si>
  <si>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</si>
  <si>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</si>
  <si>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</si>
  <si>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</si>
  <si>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</si>
  <si>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</si>
  <si>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</si>
  <si>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</si>
  <si>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</si>
  <si>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</si>
  <si>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</si>
  <si>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</si>
  <si>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</si>
  <si>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</si>
  <si>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</si>
  <si>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</si>
  <si>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</si>
  <si>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</si>
  <si>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</si>
  <si>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</si>
  <si>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</si>
  <si>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</si>
  <si>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</si>
  <si>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</si>
  <si>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</si>
  <si>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</si>
  <si>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</si>
  <si>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</si>
  <si>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</si>
  <si>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</si>
  <si>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</si>
  <si>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</si>
  <si>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</si>
  <si>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</si>
  <si>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</si>
  <si>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</si>
  <si>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</si>
  <si>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</si>
  <si>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</si>
  <si>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</si>
  <si>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</si>
  <si>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</si>
  <si>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</si>
  <si>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</si>
  <si>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</si>
  <si>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</si>
  <si>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</si>
  <si>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</si>
  <si>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</si>
  <si>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</si>
  <si>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</si>
  <si>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</si>
  <si>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</si>
  <si>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</si>
  <si>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</si>
  <si>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</si>
  <si>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</si>
  <si>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</si>
  <si>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</si>
  <si>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</si>
  <si>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</si>
  <si>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</si>
  <si>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</si>
  <si>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</si>
  <si>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</si>
  <si>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</si>
  <si>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</si>
  <si>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</si>
  <si>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</si>
  <si>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</si>
  <si>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</si>
  <si>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</si>
  <si>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</si>
  <si>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</si>
  <si>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</si>
  <si>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</si>
  <si>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</si>
  <si>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</si>
  <si>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</si>
  <si>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</si>
  <si>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</si>
  <si>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</si>
  <si>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</si>
  <si>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</si>
  <si>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</si>
  <si>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</si>
  <si>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</si>
  <si>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</si>
  <si>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</si>
  <si>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</si>
  <si>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</si>
  <si>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</si>
  <si>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</si>
  <si>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</si>
  <si>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</si>
  <si>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</si>
  <si>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</si>
  <si>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</si>
  <si>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</si>
  <si>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</si>
  <si>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</si>
  <si>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</si>
  <si>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</si>
  <si>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</si>
  <si>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</si>
  <si>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</si>
  <si>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</si>
  <si>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</si>
  <si>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</si>
  <si>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</si>
  <si>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</si>
  <si>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</si>
  <si>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</si>
  <si>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</si>
  <si>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</si>
  <si>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</si>
  <si>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</si>
  <si>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</si>
  <si>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</si>
  <si>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</si>
  <si>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</si>
  <si>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</si>
  <si>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</si>
  <si>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</si>
  <si>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</si>
  <si>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</si>
  <si>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</si>
  <si>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</si>
  <si>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</si>
  <si>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</si>
  <si>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</si>
  <si>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</si>
  <si>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</si>
  <si>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</si>
  <si>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</si>
  <si>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</si>
  <si>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</si>
  <si>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</si>
  <si>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</si>
  <si>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</si>
  <si>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</si>
  <si>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</si>
  <si>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</si>
  <si>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</si>
  <si>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</si>
  <si>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</si>
  <si>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</si>
  <si>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</si>
  <si>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</si>
  <si>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</si>
  <si>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</si>
  <si>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</si>
  <si>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</si>
  <si>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</si>
  <si>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</si>
  <si>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</si>
  <si>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</si>
  <si>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</si>
  <si>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</si>
  <si>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</si>
  <si>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办公</t>
    <phoneticPr fontId="6" type="noConversion"/>
  </si>
  <si>
    <t>办公项目</t>
  </si>
  <si>
    <t>无</t>
  </si>
  <si>
    <t>否</t>
  </si>
  <si>
    <t>现房</t>
  </si>
  <si>
    <t>地上</t>
  </si>
  <si>
    <t>办公楼</t>
  </si>
  <si>
    <t>是</t>
  </si>
  <si>
    <t>成新度</t>
  </si>
  <si>
    <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</si>
  <si>
    <t>建成年代</t>
    <phoneticPr fontId="3" type="noConversion"/>
  </si>
  <si>
    <t>直线</t>
    <phoneticPr fontId="3" type="noConversion"/>
  </si>
  <si>
    <t>收益法 (元)</t>
  </si>
  <si>
    <t>押一</t>
  </si>
  <si>
    <t>单套模式</t>
  </si>
  <si>
    <t>租金</t>
  </si>
  <si>
    <t>国投财富广场</t>
    <phoneticPr fontId="3" type="noConversion"/>
  </si>
  <si>
    <t>正常</t>
  </si>
  <si>
    <t>挂牌</t>
  </si>
  <si>
    <t>挂牌</t>
    <phoneticPr fontId="134" type="noConversion"/>
  </si>
  <si>
    <t>办公</t>
    <phoneticPr fontId="134" type="noConversion"/>
  </si>
  <si>
    <t>30-40</t>
    <phoneticPr fontId="31" type="noConversion"/>
  </si>
  <si>
    <t>主干道</t>
    <phoneticPr fontId="3" type="noConversion"/>
  </si>
  <si>
    <t>次干道</t>
    <phoneticPr fontId="3" type="noConversion"/>
  </si>
  <si>
    <t>支路</t>
    <phoneticPr fontId="3" type="noConversion"/>
  </si>
  <si>
    <t>高区</t>
    <phoneticPr fontId="31" type="noConversion"/>
  </si>
  <si>
    <t>中区</t>
  </si>
  <si>
    <t>中区</t>
    <phoneticPr fontId="31" type="noConversion"/>
  </si>
  <si>
    <t>低区</t>
  </si>
  <si>
    <t>低区</t>
    <phoneticPr fontId="31" type="noConversion"/>
  </si>
  <si>
    <t>高层办公楼</t>
  </si>
  <si>
    <t>高层办公楼</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</si>
  <si>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</si>
  <si>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</si>
  <si>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</si>
  <si>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</si>
  <si>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</si>
  <si>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</si>
  <si>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钢混</t>
  </si>
  <si>
    <t>钢混</t>
    <phoneticPr fontId="31" type="noConversion"/>
  </si>
  <si>
    <t>差</t>
    <phoneticPr fontId="3" type="noConversion"/>
  </si>
  <si>
    <t>较差</t>
    <phoneticPr fontId="3" type="noConversion"/>
  </si>
  <si>
    <t>一般</t>
    <phoneticPr fontId="3" type="noConversion"/>
  </si>
  <si>
    <t>较好</t>
    <phoneticPr fontId="3" type="noConversion"/>
  </si>
  <si>
    <t>好</t>
    <phoneticPr fontId="3" type="noConversion"/>
  </si>
  <si>
    <t>七通</t>
  </si>
  <si>
    <t>七通</t>
    <phoneticPr fontId="31" type="noConversion"/>
  </si>
  <si>
    <t>六通</t>
    <phoneticPr fontId="31" type="noConversion"/>
  </si>
  <si>
    <t>五通</t>
  </si>
  <si>
    <t>五通</t>
    <phoneticPr fontId="31" type="noConversion"/>
  </si>
  <si>
    <t>高速路</t>
    <phoneticPr fontId="3" type="noConversion"/>
  </si>
  <si>
    <t>快速路</t>
    <phoneticPr fontId="3" type="noConversion"/>
  </si>
  <si>
    <t>挂牌</t>
    <phoneticPr fontId="31" type="noConversion"/>
  </si>
  <si>
    <t>30-40</t>
    <phoneticPr fontId="134" type="noConversion"/>
  </si>
  <si>
    <t>高区</t>
    <phoneticPr fontId="134" type="noConversion"/>
  </si>
  <si>
    <t>中区</t>
    <phoneticPr fontId="134" type="noConversion"/>
  </si>
  <si>
    <t>低区</t>
    <phoneticPr fontId="134" type="noConversion"/>
  </si>
  <si>
    <t>高层办公楼</t>
    <phoneticPr fontId="134" type="noConversion"/>
  </si>
  <si>
    <t>钢混</t>
    <phoneticPr fontId="134" type="noConversion"/>
  </si>
  <si>
    <t>标准</t>
  </si>
  <si>
    <t>标准</t>
    <phoneticPr fontId="134" type="noConversion"/>
  </si>
  <si>
    <t>七通</t>
    <phoneticPr fontId="134" type="noConversion"/>
  </si>
  <si>
    <t>六通</t>
    <phoneticPr fontId="134" type="noConversion"/>
  </si>
  <si>
    <t>五通</t>
    <phoneticPr fontId="134" type="noConversion"/>
  </si>
  <si>
    <t>专业</t>
  </si>
  <si>
    <t>专业</t>
    <phoneticPr fontId="134" type="noConversion"/>
  </si>
  <si>
    <t>甲级</t>
    <phoneticPr fontId="134" type="noConversion"/>
  </si>
  <si>
    <t>精装修</t>
  </si>
  <si>
    <t>较好</t>
  </si>
  <si>
    <t>一般</t>
  </si>
  <si>
    <t>次干道</t>
  </si>
  <si>
    <t>非生产用房</t>
  </si>
  <si>
    <t>楼面单价</t>
  </si>
  <si>
    <t>普通装修</t>
  </si>
  <si>
    <t>好</t>
  </si>
  <si>
    <t>北京京华瑞税务师事务所（集团）有限公司</t>
    <phoneticPr fontId="6" type="noConversion"/>
  </si>
  <si>
    <t>郑燚</t>
  </si>
  <si>
    <t>吴薇</t>
  </si>
  <si>
    <r>
      <rPr>
        <sz val="10"/>
        <color theme="9" tint="-0.249977111117893"/>
        <rFont val="宋体"/>
        <family val="3"/>
        <charset val="134"/>
      </rPr>
      <t>丰台区广安路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413</t>
    </r>
    <r>
      <rPr>
        <sz val="10"/>
        <color theme="9" tint="-0.249977111117893"/>
        <rFont val="宋体"/>
        <family val="3"/>
        <charset val="134"/>
      </rPr>
      <t/>
    </r>
    <phoneticPr fontId="6" type="noConversion"/>
  </si>
  <si>
    <t>自定义</t>
  </si>
  <si>
    <t>收益法 (元)413</t>
  </si>
  <si>
    <t>收益法 (元)413</t>
    <phoneticPr fontId="16" type="noConversion"/>
  </si>
  <si>
    <t>收益法 (元)414</t>
  </si>
  <si>
    <t>收益法 (元)414</t>
    <phoneticPr fontId="16" type="noConversion"/>
  </si>
  <si>
    <t>比较法-办公售价414</t>
  </si>
  <si>
    <t>比较法-办公售价414</t>
    <phoneticPr fontId="16" type="noConversion"/>
  </si>
  <si>
    <t>比较法-办公售价413</t>
  </si>
  <si>
    <t>比较法-办公售价413</t>
    <phoneticPr fontId="16" type="noConversion"/>
  </si>
  <si>
    <t>比较法-办公</t>
    <phoneticPr fontId="16" type="noConversion"/>
  </si>
  <si>
    <t>售价</t>
  </si>
  <si>
    <t>情况4</t>
  </si>
  <si>
    <t>转让取得</t>
  </si>
  <si>
    <t>非个人房产</t>
  </si>
  <si>
    <t>买卖合同</t>
  </si>
  <si>
    <t>2016年5月1日后购买</t>
  </si>
  <si>
    <t>购房发票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</si>
</sst>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49" fontId="47" fillId="6" borderId="1" xfId="0" applyNumberFormat="1" applyFont="1" applyFill="1" applyBorder="1" applyAlignment="1" applyProtection="1">
      <alignment horizontal="center" vertical="center"/>
    </xf>
    <xf numFmtId="0" fontId="77" fillId="7" borderId="54" xfId="0" applyFont="1" applyFill="1" applyBorder="1" applyAlignment="1" applyProtection="1">
      <alignment vertical="center"/>
      <protection locked="0"/>
    </xf>
    <xf numFmtId="0" fontId="77" fillId="12" borderId="0" xfId="0" applyFont="1" applyFill="1" applyAlignment="1" applyProtection="1">
      <alignment horizontal="center" vertical="center"/>
      <protection locked="0"/>
    </xf>
    <xf numFmtId="0" fontId="128" fillId="12" borderId="0" xfId="0" applyFont="1" applyFill="1" applyAlignment="1" applyProtection="1">
      <alignment vertical="center"/>
      <protection locked="0"/>
    </xf>
    <xf numFmtId="10" fontId="47" fillId="12" borderId="0" xfId="0" applyNumberFormat="1" applyFont="1" applyFill="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07">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520</v>
      </c>
      <c r="B1" s="1195" t="s">
        <v>599</v>
      </c>
    </row>
    <row r="2" spans="1:2" s="1200" customFormat="1" ht="15" thickTop="1">
      <c r="A2" s="1198" t="s">
        <v>521</v>
      </c>
      <c r="B2" s="1199" t="str">
        <f>'预评函-封皮'!B37:I37</f>
        <v>北京市丰台区广安路9号院1号楼4层413房地产抵押价值预评估</v>
      </c>
    </row>
    <row r="3" spans="1:2" s="1203" customFormat="1">
      <c r="A3" s="1201" t="s">
        <v>522</v>
      </c>
      <c r="B3" s="1202">
        <f>'预评函-封皮'!B40</f>
        <v>0</v>
      </c>
    </row>
    <row r="4" spans="1:2" s="1203" customFormat="1">
      <c r="A4" s="1201" t="s">
        <v>523</v>
      </c>
      <c r="B4" s="1202" t="str">
        <f ca="1">'预评函-封皮'!B46</f>
        <v>郑燚（注册号：1120070131)、吴薇（注册号：1419970001)</v>
      </c>
    </row>
    <row r="5" spans="1:2" s="1197" customFormat="1" ht="15" thickBot="1">
      <c r="A5" s="1204" t="s">
        <v>524</v>
      </c>
      <c r="B5" s="1205" t="str">
        <f>'预评函-封皮'!B49</f>
        <v>康正预评字号</v>
      </c>
    </row>
    <row r="6" spans="1:2" s="1200" customFormat="1" ht="15" thickTop="1">
      <c r="A6" s="1198" t="s">
        <v>525</v>
      </c>
      <c r="B6" s="1199" t="str">
        <f>'预评函-1'!A4</f>
        <v>受贵公司委托，我公司对北京市丰台区广安路9号院1号楼4层413房地产抵押价值进行了预评估。</v>
      </c>
    </row>
    <row r="7" spans="1:2" s="1203" customFormat="1">
      <c r="A7" s="1201" t="s">
        <v>565</v>
      </c>
      <c r="B7" s="1202" t="str">
        <f>'预评函-1'!A7</f>
        <v>估价对象为北京市丰台区广安路9号院1号楼4层413房地产，为北京京华瑞税务师事务所（集团）有限公司所有。根据《国有土地使用证》[]，估价对象（分摊）出让国有建设用地使用权面积为0平方米，建筑面积为139.08平方米。</v>
      </c>
    </row>
    <row r="8" spans="1:2" s="1203" customFormat="1">
      <c r="A8" s="1201" t="s">
        <v>566</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567</v>
      </c>
      <c r="B9" s="1202" t="str">
        <f>'预评函-1'!A10</f>
        <v>估价对象为北京市丰台区广安路9号院1号楼4层413房地产,属北京京华瑞税务师事务所（集团）有限公司开发建设的办公项目，该项目尚在开发建设中。根据《国有土地使用证》[]，估价对象（分摊）出让国有建设用地使用权面积为0平方米，规划建筑面积为139.08平方米。</v>
      </c>
    </row>
    <row r="10" spans="1:2" s="1203" customFormat="1">
      <c r="A10" s="1201" t="s">
        <v>568</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526</v>
      </c>
      <c r="B11" s="1202" t="str">
        <f>'预评函-1'!A13</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527</v>
      </c>
      <c r="B12" s="1202" t="str">
        <f>'预评函-1'!A15</f>
        <v>2024年4月23日（评估专业人员实地查勘之日）</v>
      </c>
    </row>
    <row r="13" spans="1:2" s="1203" customFormat="1">
      <c r="A13" s="1201" t="s">
        <v>528</v>
      </c>
      <c r="B13" s="1202" t="str">
        <f>'预评函-1'!A18</f>
        <v>本次估价的“房地产价值”是指在正常市场情况下，在价值时点2024年4月23日，估价对象规划用途为办公，土地取得方式为出让，出让国有建设用地使用权剩余土地使用年限为36.72，假定未设立法定优先受偿款下的房地产市场价值。</v>
      </c>
    </row>
    <row r="14" spans="1:2" s="1203" customFormat="1">
      <c r="A14" s="1201" t="s">
        <v>529</v>
      </c>
      <c r="B14" s="1202" t="str">
        <f>'预评函-1'!A19</f>
        <v>其中，“出让国有建设用地使用权价值”是指估价对象用途为办公，实际开发程度为宗地红线外“七通”（即、、、、、、）、红线内场地平整条件下，剩余土地使用年限为36.72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530</v>
      </c>
      <c r="B15" s="1202" t="str">
        <f>'预评函-1'!A20</f>
        <v>本次估价的“房地产抵押价值”是指估价对象在价值时点的“房地产价值”扣减估价师于价值时点所知悉的法定优先受偿款后的余额。</v>
      </c>
    </row>
    <row r="16" spans="1:2" s="1203" customFormat="1">
      <c r="A16" s="1201" t="s">
        <v>531</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532</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533</v>
      </c>
      <c r="B18" s="1205" t="str">
        <f>'预评函-1'!A24</f>
        <v>本次评估采用的主估价方法为比较法和收益法。</v>
      </c>
    </row>
    <row r="19" spans="1:2" s="1200" customFormat="1" ht="15" thickTop="1">
      <c r="A19" s="1198" t="s">
        <v>534</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535</v>
      </c>
      <c r="B20" s="1202">
        <f ca="1">'预评函-2'!D5</f>
        <v>210</v>
      </c>
    </row>
    <row r="21" spans="1:2" s="1203" customFormat="1">
      <c r="A21" s="1201" t="s">
        <v>536</v>
      </c>
      <c r="B21" s="1202">
        <f ca="1">'预评函-2'!D7</f>
        <v>35889</v>
      </c>
    </row>
    <row r="22" spans="1:2" s="1203" customFormat="1">
      <c r="A22" s="1201" t="s">
        <v>537</v>
      </c>
      <c r="B22" s="1202" t="str">
        <f ca="1">'预评函-2'!D6</f>
        <v>贰佰壹拾万元整</v>
      </c>
    </row>
    <row r="23" spans="1:2" s="1203" customFormat="1">
      <c r="A23" s="1201" t="s">
        <v>588</v>
      </c>
      <c r="B23" s="1202" t="str">
        <f>'预评函-2'!B8</f>
        <v>2.估价师知悉的法定优先受偿款</v>
      </c>
    </row>
    <row r="24" spans="1:2" s="1203" customFormat="1">
      <c r="A24" s="1201" t="s">
        <v>594</v>
      </c>
      <c r="B24" s="1202">
        <f>'预评函-2'!D8</f>
        <v>0</v>
      </c>
    </row>
    <row r="25" spans="1:2" s="1203" customFormat="1">
      <c r="A25" s="1201" t="s">
        <v>538</v>
      </c>
      <c r="B25" s="1202" t="str">
        <f>'预评函-2'!D9</f>
        <v>零元整</v>
      </c>
    </row>
    <row r="26" spans="1:2" s="1203" customFormat="1">
      <c r="A26" s="1201" t="s">
        <v>539</v>
      </c>
      <c r="B26" s="1202">
        <f>'预评函-2'!D10</f>
        <v>0</v>
      </c>
    </row>
    <row r="27" spans="1:2" s="1203" customFormat="1">
      <c r="A27" s="1201" t="s">
        <v>540</v>
      </c>
      <c r="B27" s="1202">
        <f>'预评函-2'!D11</f>
        <v>0</v>
      </c>
    </row>
    <row r="28" spans="1:2" s="1203" customFormat="1">
      <c r="A28" s="1201" t="s">
        <v>541</v>
      </c>
      <c r="B28" s="1202">
        <f>'预评函-2'!D12</f>
        <v>0</v>
      </c>
    </row>
    <row r="29" spans="1:2" s="1203" customFormat="1">
      <c r="A29" s="1201" t="s">
        <v>592</v>
      </c>
      <c r="B29" s="1202" t="str">
        <f>'预评函-2'!B13</f>
        <v>3.房地产抵押价值</v>
      </c>
    </row>
    <row r="30" spans="1:2" s="1203" customFormat="1">
      <c r="A30" s="1201" t="s">
        <v>593</v>
      </c>
      <c r="B30" s="1202">
        <f ca="1">'预评函-2'!D13</f>
        <v>210</v>
      </c>
    </row>
    <row r="31" spans="1:2" s="1203" customFormat="1">
      <c r="A31" s="1201" t="s">
        <v>575</v>
      </c>
      <c r="B31" s="1202">
        <f ca="1">'预评函-2'!D15</f>
        <v>35889</v>
      </c>
    </row>
    <row r="32" spans="1:2" s="1203" customFormat="1">
      <c r="A32" s="1201" t="s">
        <v>542</v>
      </c>
      <c r="B32" s="1202" t="str">
        <f ca="1">'预评函-2'!D14</f>
        <v>贰佰壹拾万元整</v>
      </c>
    </row>
    <row r="33" spans="1:2" s="1203" customFormat="1">
      <c r="A33" s="1201" t="s">
        <v>577</v>
      </c>
      <c r="B33" s="1202" t="str">
        <f>'预评函-2'!B16</f>
        <v>——</v>
      </c>
    </row>
    <row r="34" spans="1:2" s="1203" customFormat="1">
      <c r="A34" s="1201" t="s">
        <v>595</v>
      </c>
      <c r="B34" s="1202" t="str">
        <f>'预评函-2'!D16</f>
        <v>——</v>
      </c>
    </row>
    <row r="35" spans="1:2" s="1203" customFormat="1">
      <c r="A35" s="1201" t="s">
        <v>576</v>
      </c>
      <c r="B35" s="1202" t="str">
        <f>'预评函-2'!D18</f>
        <v>——</v>
      </c>
    </row>
    <row r="36" spans="1:2" s="1203" customFormat="1">
      <c r="A36" s="1201" t="s">
        <v>543</v>
      </c>
      <c r="B36" s="1202" t="e">
        <f>'预评函-2'!D17</f>
        <v>#VALUE!</v>
      </c>
    </row>
    <row r="37" spans="1:2" s="1203" customFormat="1">
      <c r="A37" s="1201" t="s">
        <v>578</v>
      </c>
      <c r="B37" s="1202" t="str">
        <f>'预评函-2'!B19</f>
        <v>4.抵押净值</v>
      </c>
    </row>
    <row r="38" spans="1:2" s="1203" customFormat="1">
      <c r="A38" s="1201" t="s">
        <v>596</v>
      </c>
      <c r="B38" s="1202">
        <f ca="1">'预评函-2'!D19</f>
        <v>210</v>
      </c>
    </row>
    <row r="39" spans="1:2" s="1203" customFormat="1">
      <c r="A39" s="1201" t="s">
        <v>544</v>
      </c>
      <c r="B39" s="1202">
        <f ca="1">'预评函-2'!D21</f>
        <v>15099</v>
      </c>
    </row>
    <row r="40" spans="1:2" s="1203" customFormat="1">
      <c r="A40" s="1201" t="s">
        <v>545</v>
      </c>
      <c r="B40" s="1202" t="str">
        <f ca="1">'预评函-2'!D20</f>
        <v>贰佰壹拾万元整</v>
      </c>
    </row>
    <row r="41" spans="1:2" s="1203" customFormat="1">
      <c r="A41" s="1201" t="s">
        <v>591</v>
      </c>
      <c r="B41" s="1202" t="str">
        <f>'预评函-3'!A4</f>
        <v>北京市丰台区广安路9号院1号楼4层413房地产</v>
      </c>
    </row>
    <row r="42" spans="1:2" s="1203" customFormat="1">
      <c r="A42" s="1201" t="s">
        <v>589</v>
      </c>
      <c r="B42" s="1202" t="str">
        <f>'预评函-3'!B2</f>
        <v>建筑面积</v>
      </c>
    </row>
    <row r="43" spans="1:2" s="1203" customFormat="1">
      <c r="A43" s="1201" t="s">
        <v>590</v>
      </c>
      <c r="B43" s="1202">
        <f>'预评函-3'!B4</f>
        <v>139.07999999999998</v>
      </c>
    </row>
    <row r="44" spans="1:2" s="1203" customFormat="1">
      <c r="A44" s="1201" t="s">
        <v>574</v>
      </c>
      <c r="B44" s="1202" t="str">
        <f>'预评函-3'!C2</f>
        <v>(分摊)土地面积</v>
      </c>
    </row>
    <row r="45" spans="1:2" s="1203" customFormat="1">
      <c r="A45" s="1201" t="s">
        <v>546</v>
      </c>
      <c r="B45" s="1202">
        <f>'预评函-3'!C4</f>
        <v>0</v>
      </c>
    </row>
    <row r="46" spans="1:2" s="1203" customFormat="1">
      <c r="A46" s="1201" t="s">
        <v>572</v>
      </c>
      <c r="B46" s="1202" t="str">
        <f>'预评函-3'!D2</f>
        <v>出让国有建设用地使用权价值</v>
      </c>
    </row>
    <row r="47" spans="1:2" s="1203" customFormat="1">
      <c r="A47" s="1201" t="s">
        <v>547</v>
      </c>
      <c r="B47" s="1202">
        <f>'预评函-3'!D4</f>
        <v>0</v>
      </c>
    </row>
    <row r="48" spans="1:2" s="1203" customFormat="1">
      <c r="A48" s="1201" t="s">
        <v>548</v>
      </c>
      <c r="B48" s="1202">
        <f>'预评函-3'!E4</f>
        <v>0</v>
      </c>
    </row>
    <row r="49" spans="1:2" s="1203" customFormat="1">
      <c r="A49" s="1201" t="s">
        <v>549</v>
      </c>
      <c r="B49" s="1202" t="str">
        <f>'预评函-3'!D5</f>
        <v>零元整</v>
      </c>
    </row>
    <row r="50" spans="1:2" s="1203" customFormat="1">
      <c r="A50" s="1201" t="s">
        <v>573</v>
      </c>
      <c r="B50" s="1202" t="str">
        <f>'预评函-3'!F2</f>
        <v>在建建筑物价值</v>
      </c>
    </row>
    <row r="51" spans="1:2" s="1203" customFormat="1">
      <c r="A51" s="1201" t="s">
        <v>550</v>
      </c>
      <c r="B51" s="1202">
        <f>'预评函-3'!F4</f>
        <v>0</v>
      </c>
    </row>
    <row r="52" spans="1:2" s="1203" customFormat="1">
      <c r="A52" s="1201" t="s">
        <v>551</v>
      </c>
      <c r="B52" s="1202">
        <f>'预评函-3'!G4</f>
        <v>0</v>
      </c>
    </row>
    <row r="53" spans="1:2" s="1203" customFormat="1">
      <c r="A53" s="1201" t="s">
        <v>579</v>
      </c>
      <c r="B53" s="1202" t="str">
        <f>'预评函-3'!F5</f>
        <v>零元整</v>
      </c>
    </row>
    <row r="54" spans="1:2" s="1203" customFormat="1">
      <c r="A54" s="1201" t="s">
        <v>597</v>
      </c>
      <c r="B54" s="1202" t="str">
        <f>'预评函-3'!A8</f>
        <v>房地产抵押价值</v>
      </c>
    </row>
    <row r="55" spans="1:2" s="1203" customFormat="1">
      <c r="A55" s="1201" t="s">
        <v>580</v>
      </c>
      <c r="B55" s="1202" t="str">
        <f>'预评函-3'!A10</f>
        <v/>
      </c>
    </row>
    <row r="56" spans="1:2" s="1203" customFormat="1">
      <c r="A56" s="1201" t="s">
        <v>581</v>
      </c>
      <c r="B56" s="1202" t="str">
        <f>'预评函-3'!A12</f>
        <v>抵押净值</v>
      </c>
    </row>
    <row r="57" spans="1:2" s="1197" customFormat="1" ht="15" thickBot="1">
      <c r="A57" s="1204" t="s">
        <v>598</v>
      </c>
      <c r="B57" s="1205" t="str">
        <f>'预评函-3'!A6</f>
        <v>估价师知悉的法定优先受偿款</v>
      </c>
    </row>
    <row r="58" spans="1:2" s="1200" customFormat="1" ht="15" thickTop="1">
      <c r="A58" s="1198" t="s">
        <v>552</v>
      </c>
      <c r="B58" s="1199" t="str">
        <f>'预评函-4'!A12</f>
        <v>2.本《评估意见函》仅供金融机构进行内部审核使用，不做其他目的之用。</v>
      </c>
    </row>
    <row r="59" spans="1:2" s="1203" customFormat="1">
      <c r="A59" s="1201" t="s">
        <v>553</v>
      </c>
      <c r="B59" s="1202" t="str">
        <f>'预评函-4'!A13</f>
        <v>3.抵押双方在办理抵押登记手续时，应使用本公司出具的正式《房地产评估报告》，特提醒报告使用者注意。</v>
      </c>
    </row>
    <row r="60" spans="1:2" s="1203" customFormat="1">
      <c r="A60" s="1201" t="s">
        <v>554</v>
      </c>
      <c r="B60" s="1202" t="str">
        <f>'预评函-4'!A14</f>
        <v>4.本次评估估价师所知悉的法定优先受偿款情况说明如下：</v>
      </c>
    </row>
    <row r="61" spans="1:2" s="1203" customFormat="1">
      <c r="A61" s="1201" t="s">
        <v>555</v>
      </c>
      <c r="B61" s="1202" t="str">
        <f>'预评函-4'!A15</f>
        <v>（1）根据估价对象《房屋所有权证》原件、《国有土地使用权》复印件，截至价值时点，估价对象抵押权未见登记。</v>
      </c>
    </row>
    <row r="62" spans="1:2" s="1203" customFormat="1">
      <c r="A62" s="1201" t="s">
        <v>556</v>
      </c>
      <c r="B62" s="1202" t="str">
        <f>'预评函-4'!A16</f>
        <v>（2）根据《工程款支付情况说明》，截至价值时点，估价对象不存在应付未付工程款项。（只要没有施工方盖章的，均“设定”进行表述）</v>
      </c>
    </row>
    <row r="63" spans="1:2" s="1203" customFormat="1">
      <c r="A63" s="1201" t="s">
        <v>557</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569</v>
      </c>
      <c r="B64" s="1202" t="str">
        <f>'预评函-4'!A18</f>
        <v>故，本次评估不存在估价师知悉的法定优先受偿款</v>
      </c>
    </row>
    <row r="65" spans="1:2" s="1203" customFormat="1">
      <c r="A65" s="1201" t="s">
        <v>558</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559</v>
      </c>
      <c r="B66" s="1202" t="str">
        <f>'预评函-4'!A20</f>
        <v>——</v>
      </c>
    </row>
    <row r="67" spans="1:2" s="1203" customFormat="1">
      <c r="A67" s="1201" t="s">
        <v>570</v>
      </c>
      <c r="B67" s="1202" t="str">
        <f>'预评函-4'!A21</f>
        <v>——</v>
      </c>
    </row>
    <row r="68" spans="1:2" s="1203" customFormat="1">
      <c r="A68" s="1201" t="s">
        <v>571</v>
      </c>
      <c r="B68" s="1202" t="str">
        <f>'预评函-4'!A22</f>
        <v>8.其他需特殊说明事项：无（注意调整序号）</v>
      </c>
    </row>
    <row r="69" spans="1:2" s="1197" customFormat="1" ht="15" thickBot="1">
      <c r="A69" s="1204" t="s">
        <v>560</v>
      </c>
      <c r="B69" s="1206">
        <f>'预评函-4'!C31</f>
        <v>42551</v>
      </c>
    </row>
    <row r="70" spans="1:2" ht="15" thickTop="1">
      <c r="A70" s="1207" t="s">
        <v>561</v>
      </c>
      <c r="B70" s="1208" t="str">
        <f>'预评函-4'!A4</f>
        <v>郑燚</v>
      </c>
    </row>
    <row r="71" spans="1:2">
      <c r="A71" s="1201" t="s">
        <v>562</v>
      </c>
      <c r="B71" s="1202">
        <f ca="1">'预评函-4'!B4</f>
        <v>1120070131</v>
      </c>
    </row>
    <row r="72" spans="1:2">
      <c r="A72" s="1201" t="s">
        <v>563</v>
      </c>
      <c r="B72" s="1210" t="str">
        <f>'预评函-4'!A5</f>
        <v>吴薇</v>
      </c>
    </row>
    <row r="73" spans="1:2" s="1197" customFormat="1" ht="15" thickBot="1">
      <c r="A73" s="1204" t="s">
        <v>564</v>
      </c>
      <c r="B73" s="1205">
        <f ca="1">'预评函-4'!B5</f>
        <v>1419970001</v>
      </c>
    </row>
    <row r="74" spans="1:2" ht="15" thickTop="1">
      <c r="A74" s="1194" t="s">
        <v>600</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L42" sqref="L42:L4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975</v>
      </c>
      <c r="C1" s="1541" t="s">
        <v>314</v>
      </c>
      <c r="D1" s="1543" t="s">
        <v>3351</v>
      </c>
      <c r="E1" s="1542" t="s">
        <v>976</v>
      </c>
      <c r="F1" s="1542" t="s">
        <v>977</v>
      </c>
      <c r="G1" s="1542" t="s">
        <v>978</v>
      </c>
      <c r="H1" s="1542" t="s">
        <v>979</v>
      </c>
      <c r="I1" s="1542" t="s">
        <v>980</v>
      </c>
      <c r="J1" s="1542" t="s">
        <v>981</v>
      </c>
      <c r="K1" s="1542" t="s">
        <v>982</v>
      </c>
      <c r="L1" s="1542" t="s">
        <v>983</v>
      </c>
      <c r="M1" s="1542" t="s">
        <v>984</v>
      </c>
      <c r="N1" s="1542" t="s">
        <v>985</v>
      </c>
      <c r="O1" s="1542" t="s">
        <v>986</v>
      </c>
      <c r="P1" s="1543" t="s">
        <v>309</v>
      </c>
      <c r="Q1" s="1543" t="s">
        <v>447</v>
      </c>
      <c r="R1" s="1542" t="s">
        <v>441</v>
      </c>
      <c r="S1" s="1542" t="s">
        <v>987</v>
      </c>
      <c r="T1" s="1544" t="s">
        <v>988</v>
      </c>
      <c r="U1" s="1542" t="s">
        <v>989</v>
      </c>
      <c r="V1" s="1542" t="s">
        <v>990</v>
      </c>
      <c r="W1" s="1542" t="s">
        <v>311</v>
      </c>
    </row>
    <row r="2" spans="1:23">
      <c r="A2" s="1546" t="s">
        <v>19</v>
      </c>
      <c r="B2" s="1546" t="s">
        <v>991</v>
      </c>
      <c r="C2" s="1547" t="s">
        <v>315</v>
      </c>
      <c r="D2" s="1548" t="s">
        <v>992</v>
      </c>
      <c r="E2" s="1548" t="s">
        <v>993</v>
      </c>
      <c r="F2" s="1548" t="s">
        <v>994</v>
      </c>
      <c r="G2" s="1548">
        <v>20</v>
      </c>
      <c r="H2" s="1548" t="s">
        <v>994</v>
      </c>
      <c r="I2" s="1548" t="s">
        <v>3337</v>
      </c>
      <c r="J2" s="1548" t="s">
        <v>995</v>
      </c>
      <c r="K2" s="1548" t="s">
        <v>996</v>
      </c>
      <c r="L2" s="1548" t="s">
        <v>996</v>
      </c>
      <c r="M2" s="1548" t="s">
        <v>996</v>
      </c>
      <c r="N2" s="1548" t="s">
        <v>996</v>
      </c>
      <c r="O2" s="1548" t="s">
        <v>996</v>
      </c>
      <c r="P2" s="1548" t="s">
        <v>996</v>
      </c>
      <c r="Q2" s="1548" t="s">
        <v>996</v>
      </c>
      <c r="R2" s="1548" t="s">
        <v>443</v>
      </c>
      <c r="S2" s="1548" t="s">
        <v>996</v>
      </c>
      <c r="T2" s="1548" t="s">
        <v>997</v>
      </c>
      <c r="U2" s="1548" t="s">
        <v>996</v>
      </c>
      <c r="V2" s="1548" t="s">
        <v>998</v>
      </c>
      <c r="W2" s="1548" t="s">
        <v>996</v>
      </c>
    </row>
    <row r="3" spans="1:23">
      <c r="A3" s="1546" t="s">
        <v>999</v>
      </c>
      <c r="B3" s="1549" t="s">
        <v>448</v>
      </c>
      <c r="C3" s="1550" t="s">
        <v>316</v>
      </c>
      <c r="D3" s="1548" t="s">
        <v>1000</v>
      </c>
      <c r="E3" s="1548" t="s">
        <v>13</v>
      </c>
      <c r="F3" s="1548" t="s">
        <v>1001</v>
      </c>
      <c r="G3" s="1548">
        <v>40</v>
      </c>
      <c r="H3" s="1548" t="s">
        <v>1001</v>
      </c>
      <c r="I3" s="1548" t="s">
        <v>3338</v>
      </c>
      <c r="J3" s="1548" t="s">
        <v>1002</v>
      </c>
      <c r="K3" s="1548" t="s">
        <v>1003</v>
      </c>
      <c r="L3" s="1548" t="s">
        <v>1003</v>
      </c>
      <c r="M3" s="1548" t="s">
        <v>1003</v>
      </c>
      <c r="N3" s="1548" t="s">
        <v>1003</v>
      </c>
      <c r="O3" s="1548" t="s">
        <v>1003</v>
      </c>
      <c r="P3" s="1548" t="s">
        <v>1003</v>
      </c>
      <c r="Q3" s="1548" t="s">
        <v>1003</v>
      </c>
      <c r="R3" s="1548" t="s">
        <v>442</v>
      </c>
      <c r="S3" s="1548" t="s">
        <v>1003</v>
      </c>
      <c r="T3" s="1548" t="s">
        <v>1004</v>
      </c>
      <c r="U3" s="1548" t="s">
        <v>1003</v>
      </c>
      <c r="V3" s="1548" t="s">
        <v>1005</v>
      </c>
      <c r="W3" s="1548" t="s">
        <v>1003</v>
      </c>
    </row>
    <row r="4" spans="1:23">
      <c r="A4" s="1546" t="s">
        <v>1006</v>
      </c>
      <c r="B4" s="1546" t="s">
        <v>1007</v>
      </c>
      <c r="C4" s="1547" t="s">
        <v>317</v>
      </c>
      <c r="D4" s="1548" t="s">
        <v>389</v>
      </c>
      <c r="E4" s="1548" t="s">
        <v>1008</v>
      </c>
      <c r="F4" s="1548" t="s">
        <v>1009</v>
      </c>
      <c r="G4" s="1548">
        <v>50</v>
      </c>
      <c r="H4" s="1548" t="s">
        <v>1009</v>
      </c>
      <c r="I4" s="1548" t="s">
        <v>3339</v>
      </c>
      <c r="K4" s="1548" t="s">
        <v>1010</v>
      </c>
      <c r="L4" s="1548" t="s">
        <v>1010</v>
      </c>
      <c r="M4" s="1548" t="s">
        <v>1010</v>
      </c>
      <c r="N4" s="1548" t="s">
        <v>1010</v>
      </c>
      <c r="O4" s="1548" t="s">
        <v>1010</v>
      </c>
      <c r="P4" s="1548" t="s">
        <v>1010</v>
      </c>
      <c r="Q4" s="1548" t="s">
        <v>1010</v>
      </c>
      <c r="R4" s="1548" t="s">
        <v>444</v>
      </c>
      <c r="S4" s="1548" t="s">
        <v>1010</v>
      </c>
      <c r="T4" s="1548" t="s">
        <v>1011</v>
      </c>
      <c r="U4" s="1548" t="s">
        <v>1010</v>
      </c>
      <c r="W4" s="1548" t="s">
        <v>1010</v>
      </c>
    </row>
    <row r="5" spans="1:23">
      <c r="A5" s="1546" t="s">
        <v>1012</v>
      </c>
      <c r="B5" s="1546" t="s">
        <v>1013</v>
      </c>
      <c r="C5" s="1547" t="s">
        <v>318</v>
      </c>
      <c r="F5" s="1548" t="s">
        <v>1014</v>
      </c>
      <c r="G5" s="1548">
        <v>70</v>
      </c>
      <c r="H5" s="1548" t="s">
        <v>1015</v>
      </c>
      <c r="I5" s="1548" t="s">
        <v>3340</v>
      </c>
      <c r="K5" s="1548" t="s">
        <v>1016</v>
      </c>
      <c r="L5" s="1548" t="s">
        <v>1016</v>
      </c>
      <c r="M5" s="1548" t="s">
        <v>1016</v>
      </c>
      <c r="N5" s="1548" t="s">
        <v>1016</v>
      </c>
      <c r="O5" s="1548" t="s">
        <v>1016</v>
      </c>
      <c r="P5" s="1548" t="s">
        <v>1016</v>
      </c>
      <c r="Q5" s="1548" t="s">
        <v>1016</v>
      </c>
      <c r="R5" s="1548" t="s">
        <v>445</v>
      </c>
      <c r="S5" s="1548" t="s">
        <v>1016</v>
      </c>
      <c r="T5" s="1548" t="s">
        <v>1017</v>
      </c>
      <c r="U5" s="1548" t="s">
        <v>1016</v>
      </c>
      <c r="W5" s="1548" t="s">
        <v>1016</v>
      </c>
    </row>
    <row r="6" spans="1:23">
      <c r="A6" s="1546" t="s">
        <v>1018</v>
      </c>
      <c r="B6" s="1549" t="s">
        <v>3464</v>
      </c>
      <c r="C6" s="1552" t="s">
        <v>24</v>
      </c>
      <c r="F6" s="1548" t="s">
        <v>1015</v>
      </c>
      <c r="H6" s="1548" t="s">
        <v>1019</v>
      </c>
      <c r="I6" s="1548" t="s">
        <v>3341</v>
      </c>
      <c r="K6" s="1548" t="s">
        <v>1020</v>
      </c>
      <c r="L6" s="1548" t="s">
        <v>1020</v>
      </c>
      <c r="M6" s="1548" t="s">
        <v>1020</v>
      </c>
      <c r="N6" s="1548" t="s">
        <v>1020</v>
      </c>
      <c r="O6" s="1548" t="s">
        <v>1020</v>
      </c>
      <c r="P6" s="1548" t="s">
        <v>1020</v>
      </c>
      <c r="Q6" s="1548" t="s">
        <v>1020</v>
      </c>
      <c r="R6" s="1548" t="s">
        <v>446</v>
      </c>
      <c r="S6" s="1548" t="s">
        <v>1020</v>
      </c>
      <c r="T6" s="1548"/>
      <c r="U6" s="1548" t="s">
        <v>1020</v>
      </c>
      <c r="W6" s="1548" t="s">
        <v>1020</v>
      </c>
    </row>
    <row r="7" spans="1:23">
      <c r="A7" s="1546" t="s">
        <v>1021</v>
      </c>
      <c r="B7" s="1549" t="s">
        <v>449</v>
      </c>
      <c r="C7" s="1547" t="s">
        <v>25</v>
      </c>
      <c r="F7" s="1548" t="s">
        <v>1022</v>
      </c>
      <c r="H7" s="1548" t="s">
        <v>1023</v>
      </c>
      <c r="I7" s="1548" t="s">
        <v>3342</v>
      </c>
    </row>
    <row r="8" spans="1:23">
      <c r="A8" s="1546" t="s">
        <v>1024</v>
      </c>
      <c r="B8" s="1546" t="s">
        <v>1025</v>
      </c>
      <c r="C8" s="1547" t="s">
        <v>319</v>
      </c>
      <c r="F8" s="1548" t="s">
        <v>1026</v>
      </c>
      <c r="H8" s="1548" t="s">
        <v>2577</v>
      </c>
      <c r="I8" s="1548" t="s">
        <v>3343</v>
      </c>
    </row>
    <row r="9" spans="1:23">
      <c r="A9" s="1546" t="s">
        <v>1027</v>
      </c>
      <c r="B9" s="1546" t="s">
        <v>1028</v>
      </c>
      <c r="C9" s="1547" t="s">
        <v>320</v>
      </c>
      <c r="F9" s="1548" t="s">
        <v>1029</v>
      </c>
      <c r="H9" s="1548"/>
      <c r="I9" s="1551" t="s">
        <v>3344</v>
      </c>
    </row>
    <row r="10" spans="1:23">
      <c r="A10" s="1546" t="s">
        <v>1030</v>
      </c>
      <c r="B10" s="1549" t="s">
        <v>3471</v>
      </c>
      <c r="C10" s="1547" t="s">
        <v>321</v>
      </c>
      <c r="F10" s="1548" t="s">
        <v>2578</v>
      </c>
      <c r="I10" s="1551" t="s">
        <v>3345</v>
      </c>
    </row>
    <row r="11" spans="1:23">
      <c r="A11" s="1546" t="s">
        <v>1031</v>
      </c>
      <c r="B11" s="1546" t="s">
        <v>1032</v>
      </c>
      <c r="C11" s="1547" t="s">
        <v>322</v>
      </c>
      <c r="F11" s="1548" t="s">
        <v>13</v>
      </c>
      <c r="I11" s="1551" t="s">
        <v>3346</v>
      </c>
    </row>
    <row r="12" spans="1:23">
      <c r="A12" s="1546" t="s">
        <v>1033</v>
      </c>
      <c r="B12" s="1546" t="s">
        <v>1034</v>
      </c>
      <c r="C12" s="1547" t="s">
        <v>323</v>
      </c>
      <c r="I12" s="1551" t="s">
        <v>3347</v>
      </c>
    </row>
    <row r="13" spans="1:23">
      <c r="A13" s="1546" t="s">
        <v>1035</v>
      </c>
      <c r="B13" s="1546" t="s">
        <v>1036</v>
      </c>
      <c r="C13" s="1547" t="s">
        <v>324</v>
      </c>
      <c r="I13" s="1551" t="s">
        <v>3348</v>
      </c>
    </row>
    <row r="14" spans="1:23">
      <c r="A14" s="1546" t="s">
        <v>1037</v>
      </c>
      <c r="B14" s="1546" t="s">
        <v>1038</v>
      </c>
      <c r="C14" s="1548" t="s">
        <v>13</v>
      </c>
      <c r="I14" s="1551" t="s">
        <v>3349</v>
      </c>
    </row>
    <row r="15" spans="1:23">
      <c r="A15" s="1546" t="s">
        <v>1039</v>
      </c>
      <c r="B15" s="1546" t="s">
        <v>1040</v>
      </c>
      <c r="C15" s="1547"/>
      <c r="I15" s="1551" t="s">
        <v>3350</v>
      </c>
    </row>
    <row r="16" spans="1:23">
      <c r="A16" s="1546" t="s">
        <v>1041</v>
      </c>
      <c r="B16" s="1546" t="s">
        <v>312</v>
      </c>
      <c r="C16" s="1547"/>
    </row>
    <row r="17" spans="1:3">
      <c r="A17" s="1546" t="s">
        <v>1042</v>
      </c>
      <c r="B17" s="1546" t="s">
        <v>2289</v>
      </c>
      <c r="C17" s="1547"/>
    </row>
    <row r="18" spans="1:3">
      <c r="A18" s="1546" t="s">
        <v>1043</v>
      </c>
      <c r="B18" s="1546" t="s">
        <v>2433</v>
      </c>
      <c r="C18" s="1547"/>
    </row>
    <row r="19" spans="1:3">
      <c r="A19" s="1546" t="s">
        <v>1044</v>
      </c>
      <c r="B19" s="1546" t="s">
        <v>3470</v>
      </c>
      <c r="C19" s="1547"/>
    </row>
    <row r="20" spans="1:3">
      <c r="A20" s="1546" t="s">
        <v>1045</v>
      </c>
      <c r="B20" s="1549" t="s">
        <v>3466</v>
      </c>
      <c r="C20" s="1547"/>
    </row>
    <row r="21" spans="1:3">
      <c r="A21" s="1546" t="s">
        <v>1046</v>
      </c>
      <c r="B21" s="1546" t="s">
        <v>3468</v>
      </c>
      <c r="C21" s="1547"/>
    </row>
    <row r="22" spans="1:3">
      <c r="A22" s="1546" t="s">
        <v>1047</v>
      </c>
      <c r="B22" s="1546" t="s">
        <v>313</v>
      </c>
      <c r="C22" s="1547"/>
    </row>
    <row r="23" spans="1:3">
      <c r="A23" s="1546" t="s">
        <v>1048</v>
      </c>
      <c r="B23" s="1546" t="s">
        <v>313</v>
      </c>
      <c r="C23" s="1547"/>
    </row>
    <row r="24" spans="1:3">
      <c r="A24" s="1546" t="s">
        <v>1049</v>
      </c>
      <c r="B24" s="1546" t="s">
        <v>313</v>
      </c>
      <c r="C24" s="1547"/>
    </row>
    <row r="25" spans="1:3">
      <c r="A25" s="1546" t="s">
        <v>1050</v>
      </c>
      <c r="B25" s="1546" t="s">
        <v>313</v>
      </c>
      <c r="C25" s="1547"/>
    </row>
    <row r="26" spans="1:3">
      <c r="A26" s="1546" t="s">
        <v>1051</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c r="D51" s="1554" t="s">
        <v>585</v>
      </c>
    </row>
    <row r="52" spans="1:4">
      <c r="A52" s="1553" t="s">
        <v>379</v>
      </c>
      <c r="B52" s="1553" t="s">
        <v>380</v>
      </c>
      <c r="C52" s="1551" t="s">
        <v>381</v>
      </c>
      <c r="D52" s="1551" t="s">
        <v>382</v>
      </c>
    </row>
    <row r="53" spans="1:4">
      <c r="A53" s="353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39"/>
      <c r="B54" s="1554" t="s">
        <v>385</v>
      </c>
      <c r="C54" s="1551" t="s">
        <v>582</v>
      </c>
    </row>
    <row r="55" spans="1:4">
      <c r="A55" s="3539"/>
      <c r="B55" s="1554" t="s">
        <v>386</v>
      </c>
      <c r="C55" s="1551" t="s">
        <v>583</v>
      </c>
    </row>
    <row r="56" spans="1:4">
      <c r="A56" s="3539"/>
      <c r="B56" s="1554" t="s">
        <v>387</v>
      </c>
      <c r="C56" s="1551" t="s">
        <v>587</v>
      </c>
    </row>
    <row r="57" spans="1:4">
      <c r="A57" s="3539"/>
      <c r="B57" s="1554" t="s">
        <v>388</v>
      </c>
      <c r="C57" s="1551" t="s">
        <v>584</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22"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40" t="s">
        <v>2580</v>
      </c>
      <c r="J2" s="3540"/>
      <c r="K2" s="3540"/>
      <c r="L2" s="3540"/>
      <c r="M2" s="3540"/>
      <c r="N2" s="3540"/>
      <c r="O2" s="3540"/>
      <c r="P2" s="3540"/>
      <c r="Q2" s="3540"/>
      <c r="R2" s="3540"/>
    </row>
    <row r="3" spans="1:18">
      <c r="A3" s="3019" t="s">
        <v>2501</v>
      </c>
      <c r="B3" s="3020">
        <f>项目基本情况!D3</f>
        <v>45405</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2.65</v>
      </c>
      <c r="D5" s="3024">
        <f>IF(ISERROR(ROUND(POWER(1+E5,A5-C5)*(POWER(1+E5,C5)-1)/(POWER(1+E5,A5)-1),3)),0,ROUND(POWER(1+E5,A5-C5)*(POWER(1+E5,C5)-1)/(POWER(1+E5,A5)-1),4))</f>
        <v>0.12470000000000001</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12.66</v>
      </c>
      <c r="D6" s="3024">
        <f>IF(ISERROR(ROUND(POWER(1+E6,A6-C6)*(POWER(1+E6,C6)-1)/(POWER(1+E6,A6)-1),3)),0,ROUND(POWER(1+E6,A6-C6)*(POWER(1+E6,C6)-1)/(POWER(1+E6,A6)-1),4))</f>
        <v>0.45550000000000002</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32.67</v>
      </c>
      <c r="D7" s="3024">
        <f>IF(ISERROR(ROUND(POWER(1+E7,A7-C7)*(POWER(1+E7,C7)-1)/(POWER(1+E7,A7)-1),3)),0,ROUND(POWER(1+E7,A7-C7)*(POWER(1+E7,C7)-1)/(POWER(1+E7,A7)-1),4))</f>
        <v>0.77190000000000003</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3">
      <c r="A17" s="3019" t="s">
        <v>2517</v>
      </c>
      <c r="B17" s="3028">
        <v>4810</v>
      </c>
      <c r="C17" s="3021"/>
      <c r="D17" s="3017"/>
      <c r="E17" s="3017"/>
      <c r="F17" s="3018"/>
    </row>
    <row r="18" spans="1:13" ht="14.25" thickBot="1">
      <c r="A18" s="3030" t="s">
        <v>2516</v>
      </c>
      <c r="B18" s="3031">
        <f>ROUND(B17*F11/F12,2)</f>
        <v>5541.87</v>
      </c>
      <c r="C18" s="3031">
        <f>ROUND(F11/F12,4)</f>
        <v>1.1521999999999999</v>
      </c>
      <c r="D18" s="3032"/>
      <c r="E18" s="3032"/>
      <c r="F18" s="3033"/>
    </row>
    <row r="19" spans="1:13" ht="14.25" thickBot="1"/>
    <row r="20" spans="1:13" s="3068" customFormat="1" ht="14.25" thickTop="1">
      <c r="A20" s="3065" t="s">
        <v>2519</v>
      </c>
      <c r="B20" s="3066"/>
      <c r="C20" s="3066"/>
      <c r="D20" s="3066"/>
      <c r="E20" s="3066"/>
      <c r="F20" s="3066"/>
      <c r="G20" s="3067"/>
      <c r="I20" s="3069" t="s">
        <v>2564</v>
      </c>
      <c r="J20" s="3069" t="s">
        <v>2569</v>
      </c>
      <c r="K20" s="3069"/>
      <c r="L20" s="3069"/>
      <c r="M20" s="3069"/>
    </row>
    <row r="21" spans="1:13">
      <c r="A21" s="3034"/>
      <c r="B21" s="3035" t="s">
        <v>2520</v>
      </c>
      <c r="C21" s="3035" t="s">
        <v>2521</v>
      </c>
      <c r="D21" s="3035" t="s">
        <v>2522</v>
      </c>
      <c r="E21" s="3035" t="s">
        <v>2523</v>
      </c>
      <c r="F21" s="3035" t="s">
        <v>2524</v>
      </c>
      <c r="G21" s="3036" t="s">
        <v>2525</v>
      </c>
      <c r="I21" s="3057">
        <v>5</v>
      </c>
      <c r="J21" s="3057">
        <v>54.2</v>
      </c>
    </row>
    <row r="22" spans="1:13">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M23" s="3057" t="s">
        <v>2568</v>
      </c>
    </row>
    <row r="24" spans="1:13">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M24" s="3057">
        <v>10</v>
      </c>
    </row>
    <row r="25" spans="1:13">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M25" s="3057">
        <v>8</v>
      </c>
    </row>
    <row r="26" spans="1:13">
      <c r="A26" s="3039"/>
      <c r="B26" s="3040"/>
      <c r="C26" s="3040"/>
      <c r="D26" s="3040"/>
      <c r="E26" s="3040"/>
      <c r="F26" s="3040"/>
      <c r="G26" s="3041"/>
      <c r="I26" s="3057">
        <v>30</v>
      </c>
      <c r="J26" s="3057">
        <v>90.5</v>
      </c>
      <c r="K26" s="3057">
        <f t="shared" si="2"/>
        <v>4.2000000000000028</v>
      </c>
      <c r="L26" s="3057" t="s">
        <v>2571</v>
      </c>
      <c r="M26" s="3057">
        <v>5</v>
      </c>
    </row>
    <row r="27" spans="1:13">
      <c r="A27" s="3039" t="s">
        <v>2530</v>
      </c>
      <c r="B27" s="3040"/>
      <c r="C27" s="3040"/>
      <c r="D27" s="3040"/>
      <c r="E27" s="3040"/>
      <c r="F27" s="3040"/>
      <c r="G27" s="3041"/>
      <c r="I27" s="3057">
        <v>35</v>
      </c>
      <c r="J27" s="3057">
        <v>93.8</v>
      </c>
      <c r="K27" s="3057">
        <f t="shared" si="2"/>
        <v>3.2999999999999972</v>
      </c>
      <c r="L27" s="3057" t="s">
        <v>2572</v>
      </c>
      <c r="M27" s="3057">
        <v>3</v>
      </c>
    </row>
    <row r="28" spans="1:13">
      <c r="A28" s="3039" t="s">
        <v>2531</v>
      </c>
      <c r="B28" s="3040"/>
      <c r="C28" s="3040"/>
      <c r="D28" s="3040"/>
      <c r="E28" s="3040"/>
      <c r="F28" s="3040"/>
      <c r="G28" s="3041"/>
      <c r="I28" s="3057">
        <v>40</v>
      </c>
      <c r="J28" s="3057">
        <v>96.4</v>
      </c>
      <c r="K28" s="3057">
        <f t="shared" si="2"/>
        <v>2.6000000000000085</v>
      </c>
      <c r="L28" s="3057" t="s">
        <v>2573</v>
      </c>
      <c r="M28" s="3057">
        <v>2</v>
      </c>
    </row>
    <row r="29" spans="1:13">
      <c r="A29" s="3039" t="s">
        <v>2532</v>
      </c>
      <c r="B29" s="3040"/>
      <c r="C29" s="3040"/>
      <c r="D29" s="3040"/>
      <c r="E29" s="3040"/>
      <c r="F29" s="3040"/>
      <c r="G29" s="3041"/>
      <c r="I29" s="3057">
        <v>45</v>
      </c>
      <c r="J29" s="3057">
        <v>98.4</v>
      </c>
      <c r="K29" s="3057">
        <f t="shared" si="2"/>
        <v>2</v>
      </c>
    </row>
    <row r="30" spans="1:13">
      <c r="A30" s="3039" t="s">
        <v>2533</v>
      </c>
      <c r="B30" s="3040"/>
      <c r="C30" s="3040"/>
      <c r="D30" s="3040"/>
      <c r="E30" s="3040"/>
      <c r="F30" s="3040"/>
      <c r="G30" s="3041"/>
      <c r="I30" s="3057">
        <v>50</v>
      </c>
      <c r="J30" s="3057">
        <v>100</v>
      </c>
      <c r="K30" s="3057">
        <f t="shared" si="2"/>
        <v>1.5999999999999943</v>
      </c>
    </row>
    <row r="31" spans="1:13">
      <c r="A31" s="3039" t="s">
        <v>2534</v>
      </c>
      <c r="B31" s="3040"/>
      <c r="C31" s="3040"/>
      <c r="D31" s="3040"/>
      <c r="E31" s="3040"/>
      <c r="F31" s="3040"/>
      <c r="G31" s="3041"/>
      <c r="I31" s="3057" t="s">
        <v>2565</v>
      </c>
    </row>
    <row r="32" spans="1:13">
      <c r="A32" s="3039" t="s">
        <v>2535</v>
      </c>
      <c r="B32" s="3040"/>
      <c r="C32" s="3040"/>
      <c r="D32" s="3040"/>
      <c r="E32" s="3040"/>
      <c r="F32" s="3040"/>
      <c r="G32" s="3041"/>
    </row>
    <row r="33" spans="1:13">
      <c r="A33" s="3039" t="s">
        <v>2536</v>
      </c>
      <c r="B33" s="3040"/>
      <c r="C33" s="3040"/>
      <c r="D33" s="3040"/>
      <c r="E33" s="3040"/>
      <c r="F33" s="3040"/>
      <c r="G33" s="3041"/>
      <c r="I33" s="3057" t="s">
        <v>2564</v>
      </c>
      <c r="J33" s="3057" t="s">
        <v>2574</v>
      </c>
    </row>
    <row r="34" spans="1:13">
      <c r="A34" s="3039" t="s">
        <v>2537</v>
      </c>
      <c r="B34" s="3040"/>
      <c r="C34" s="3040"/>
      <c r="D34" s="3040"/>
      <c r="E34" s="3040"/>
      <c r="F34" s="3040"/>
      <c r="G34" s="3041"/>
      <c r="I34" s="3057">
        <v>5</v>
      </c>
      <c r="J34" s="3057">
        <v>55.1</v>
      </c>
    </row>
    <row r="35" spans="1:13">
      <c r="A35" s="3039" t="s">
        <v>2538</v>
      </c>
      <c r="B35" s="3040"/>
      <c r="C35" s="3040"/>
      <c r="D35" s="3040"/>
      <c r="E35" s="3040"/>
      <c r="F35" s="3040"/>
      <c r="G35" s="3041"/>
      <c r="I35" s="3057">
        <v>10</v>
      </c>
      <c r="J35" s="3057">
        <v>67</v>
      </c>
      <c r="K35" s="3057">
        <f>J35-J34</f>
        <v>11.899999999999999</v>
      </c>
    </row>
    <row r="36" spans="1:13">
      <c r="A36" s="3039" t="s">
        <v>2539</v>
      </c>
      <c r="B36" s="3040"/>
      <c r="C36" s="3040"/>
      <c r="D36" s="3040"/>
      <c r="E36" s="3040"/>
      <c r="F36" s="3040"/>
      <c r="G36" s="3041"/>
      <c r="I36" s="3057">
        <v>15</v>
      </c>
      <c r="J36" s="3057">
        <v>76.3</v>
      </c>
      <c r="K36" s="3057">
        <f t="shared" ref="K36:K41" si="3">J36-J35</f>
        <v>9.2999999999999972</v>
      </c>
      <c r="L36" s="3057" t="s">
        <v>2567</v>
      </c>
      <c r="M36" s="3057" t="s">
        <v>2568</v>
      </c>
    </row>
    <row r="37" spans="1:13">
      <c r="A37" s="3039" t="s">
        <v>2540</v>
      </c>
      <c r="B37" s="3040"/>
      <c r="C37" s="3040"/>
      <c r="D37" s="3040"/>
      <c r="E37" s="3040"/>
      <c r="F37" s="3040"/>
      <c r="G37" s="3041"/>
      <c r="I37" s="3057">
        <v>20</v>
      </c>
      <c r="J37" s="3057">
        <v>83.6</v>
      </c>
      <c r="K37" s="3057">
        <f t="shared" si="3"/>
        <v>7.2999999999999972</v>
      </c>
      <c r="L37" s="3057" t="s">
        <v>2566</v>
      </c>
      <c r="M37" s="3057">
        <v>10</v>
      </c>
    </row>
    <row r="38" spans="1:13">
      <c r="A38" s="3039" t="s">
        <v>2541</v>
      </c>
      <c r="B38" s="3040"/>
      <c r="C38" s="3040"/>
      <c r="D38" s="3040"/>
      <c r="E38" s="3040"/>
      <c r="F38" s="3040"/>
      <c r="G38" s="3041"/>
      <c r="I38" s="3057">
        <v>25</v>
      </c>
      <c r="J38" s="3057">
        <v>89.3</v>
      </c>
      <c r="K38" s="3057">
        <f t="shared" si="3"/>
        <v>5.7000000000000028</v>
      </c>
      <c r="L38" s="3057" t="s">
        <v>2570</v>
      </c>
      <c r="M38" s="3057">
        <v>8</v>
      </c>
    </row>
    <row r="39" spans="1:13">
      <c r="A39" s="3039"/>
      <c r="B39" s="3040"/>
      <c r="C39" s="3040"/>
      <c r="D39" s="3040"/>
      <c r="E39" s="3040"/>
      <c r="F39" s="3040"/>
      <c r="G39" s="3041"/>
      <c r="I39" s="3057">
        <v>30</v>
      </c>
      <c r="J39" s="3057">
        <v>93.8</v>
      </c>
      <c r="K39" s="3057">
        <f t="shared" si="3"/>
        <v>4.5</v>
      </c>
      <c r="L39" s="3057" t="s">
        <v>2571</v>
      </c>
      <c r="M39" s="3057">
        <v>6</v>
      </c>
    </row>
    <row r="40" spans="1:13">
      <c r="A40" s="3042" t="s">
        <v>2542</v>
      </c>
      <c r="B40" s="3043"/>
      <c r="C40" s="3043"/>
      <c r="D40" s="3043"/>
      <c r="E40" s="3043"/>
      <c r="F40" s="3043"/>
      <c r="G40" s="3044"/>
      <c r="I40" s="3057">
        <v>35</v>
      </c>
      <c r="J40" s="3057">
        <v>97.2</v>
      </c>
      <c r="K40" s="3057">
        <f t="shared" si="3"/>
        <v>3.4000000000000057</v>
      </c>
      <c r="L40" s="3057" t="s">
        <v>2572</v>
      </c>
      <c r="M40" s="3057">
        <v>3</v>
      </c>
    </row>
    <row r="41" spans="1:13">
      <c r="A41" s="3045" t="s">
        <v>2543</v>
      </c>
      <c r="B41" s="3046" t="s">
        <v>2544</v>
      </c>
      <c r="C41" s="3047" t="s">
        <v>2545</v>
      </c>
      <c r="D41" s="3047" t="s">
        <v>2546</v>
      </c>
      <c r="E41" s="3048"/>
      <c r="F41" s="3049"/>
      <c r="G41" s="3050"/>
      <c r="I41" s="3057">
        <v>40</v>
      </c>
      <c r="J41" s="3057">
        <v>100</v>
      </c>
      <c r="K41" s="3057">
        <f t="shared" si="3"/>
        <v>2.7999999999999972</v>
      </c>
    </row>
    <row r="42" spans="1:13">
      <c r="A42" s="3045" t="s">
        <v>2547</v>
      </c>
      <c r="B42" s="3046" t="s">
        <v>2548</v>
      </c>
      <c r="C42" s="3047" t="s">
        <v>2549</v>
      </c>
      <c r="D42" s="3051" t="s">
        <v>2550</v>
      </c>
      <c r="E42" s="3043" t="s">
        <v>2551</v>
      </c>
      <c r="F42" s="3043"/>
      <c r="G42" s="3044"/>
    </row>
    <row r="43" spans="1:13">
      <c r="A43" s="3045" t="s">
        <v>2552</v>
      </c>
      <c r="B43" s="3046" t="s">
        <v>2553</v>
      </c>
      <c r="C43" s="3047" t="s">
        <v>2554</v>
      </c>
      <c r="D43" s="3047" t="s">
        <v>2555</v>
      </c>
      <c r="E43" s="3048" t="s">
        <v>2556</v>
      </c>
      <c r="F43" s="3049"/>
      <c r="G43" s="3050"/>
      <c r="I43" s="3057" t="s">
        <v>2564</v>
      </c>
      <c r="J43" s="3057" t="s">
        <v>2575</v>
      </c>
    </row>
    <row r="44" spans="1:13">
      <c r="A44" s="3045" t="s">
        <v>2557</v>
      </c>
      <c r="B44" s="3046" t="s">
        <v>2558</v>
      </c>
      <c r="C44" s="3047" t="s">
        <v>2559</v>
      </c>
      <c r="D44" s="3051">
        <v>0.5</v>
      </c>
      <c r="E44" s="3048" t="s">
        <v>2560</v>
      </c>
      <c r="F44" s="3049"/>
      <c r="G44" s="3050"/>
      <c r="I44" s="3057">
        <v>30</v>
      </c>
      <c r="J44" s="3057">
        <v>81.7</v>
      </c>
    </row>
    <row r="45" spans="1:13" ht="14.25" thickBot="1">
      <c r="A45" s="3052" t="s">
        <v>2561</v>
      </c>
      <c r="B45" s="3053" t="s">
        <v>2548</v>
      </c>
      <c r="C45" s="3054" t="s">
        <v>2548</v>
      </c>
      <c r="D45" s="3054" t="s">
        <v>2562</v>
      </c>
      <c r="E45" s="3055" t="s">
        <v>2563</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2164</v>
      </c>
      <c r="B1" s="3549" t="str">
        <f>IF(B10="北京市","北京市",C10)&amp;F10&amp;IF(结果表413!G1="在建","出让国有建设用地使用权及在建建筑物",IF(结果表413!G1="土地","出让国有建设用地使用权",))&amp;B9&amp;"预评估"</f>
        <v>北京市丰台区广安路9号院1号楼4层413房地产抵押价值预评估</v>
      </c>
      <c r="C1" s="3550"/>
      <c r="D1" s="3550"/>
      <c r="E1" s="3550"/>
      <c r="F1" s="3550"/>
      <c r="G1" s="3550"/>
      <c r="H1" s="3550"/>
      <c r="I1" s="3551"/>
      <c r="J1" s="2470"/>
      <c r="K1" s="2368"/>
      <c r="L1" s="2369"/>
      <c r="M1" s="2369"/>
      <c r="N1" s="2370"/>
      <c r="O1" s="1576"/>
      <c r="P1" s="2370"/>
      <c r="Q1" s="2370"/>
      <c r="R1" s="2370"/>
      <c r="S1" s="1682" t="str">
        <f>IF(B10="北京市","北京市",C10)&amp;F10&amp;IF(结果表413!G1="在建","出让国有建设用地使用权及在建建筑物房地产抵押价值",IF(结果表413!G1="土地","出让国有建设用地使用权抵押价值",B9))</f>
        <v>北京市丰台区广安路9号院1号楼4层413房地产抵押价值</v>
      </c>
      <c r="T1" s="1745"/>
      <c r="U1" s="1745"/>
      <c r="V1" s="1745"/>
      <c r="W1" s="1745"/>
      <c r="X1" s="1745"/>
      <c r="Y1" s="1745"/>
      <c r="Z1" s="1745"/>
      <c r="AA1" s="1745"/>
      <c r="AB1" s="1745"/>
    </row>
    <row r="2" spans="1:30">
      <c r="A2" s="2367" t="s">
        <v>2165</v>
      </c>
      <c r="B2" s="2371"/>
      <c r="C2" s="2372"/>
      <c r="D2" s="2669"/>
      <c r="E2" s="2661"/>
      <c r="F2" s="2661"/>
      <c r="G2" s="2662"/>
      <c r="H2" s="2662"/>
      <c r="I2" s="2662"/>
      <c r="J2" s="2470"/>
      <c r="K2" s="2368"/>
      <c r="L2" s="2369"/>
      <c r="M2" s="2369"/>
      <c r="N2" s="2370"/>
      <c r="O2" s="1576"/>
      <c r="P2" s="2370"/>
      <c r="Q2" s="2370"/>
      <c r="R2" s="2370"/>
      <c r="S2" s="1682" t="str">
        <f>IF(B10="北京市","北京市",C10)&amp;F10&amp;IF(结果表413!G1="在建","出让国有建设用地使用权及在建建筑物房地产",IF(结果表413!G1="土地","出让国有建设用地使用权","房地产"))</f>
        <v>北京市丰台区广安路9号院1号楼4层413房地产</v>
      </c>
      <c r="T2" s="1745"/>
      <c r="U2" s="1745"/>
      <c r="V2" s="1745"/>
      <c r="W2" s="1745"/>
      <c r="X2" s="1745"/>
      <c r="Y2" s="1745"/>
      <c r="Z2" s="1745"/>
      <c r="AA2" s="1745"/>
      <c r="AB2" s="1745"/>
    </row>
    <row r="3" spans="1:30">
      <c r="A3" s="302" t="s">
        <v>2166</v>
      </c>
      <c r="B3" s="2373">
        <f>D3</f>
        <v>45405</v>
      </c>
      <c r="C3" s="2374" t="s">
        <v>2167</v>
      </c>
      <c r="D3" s="2373">
        <v>45405</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2168</v>
      </c>
      <c r="B4" s="2375" t="s">
        <v>3459</v>
      </c>
      <c r="C4" s="2376">
        <f ca="1">SUMIF(注册房地产估价师,B4,估价师及机构信息!B3:B24)</f>
        <v>1120070131</v>
      </c>
      <c r="D4" s="2375" t="s">
        <v>3460</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2169</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2170</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2171</v>
      </c>
      <c r="B7" s="2387"/>
      <c r="C7" s="2385"/>
      <c r="D7" s="2386"/>
      <c r="E7" s="2661"/>
      <c r="F7" s="2663"/>
      <c r="G7" s="2663"/>
      <c r="H7" s="2663"/>
      <c r="I7" s="2663"/>
      <c r="J7" s="2438"/>
      <c r="K7" s="2615"/>
      <c r="L7" s="2612"/>
      <c r="M7" s="2612"/>
      <c r="N7" s="2438"/>
      <c r="O7" s="2449"/>
      <c r="P7" s="2438"/>
      <c r="Q7" s="2438"/>
      <c r="R7" s="2438"/>
    </row>
    <row r="8" spans="1:30">
      <c r="A8" s="2388" t="s">
        <v>2172</v>
      </c>
      <c r="B8" s="2389" t="s">
        <v>3376</v>
      </c>
      <c r="C8" s="2390"/>
      <c r="D8" s="3552" t="s">
        <v>2173</v>
      </c>
      <c r="E8" s="2391" t="s">
        <v>3380</v>
      </c>
      <c r="F8" s="2392"/>
      <c r="G8" s="2662"/>
      <c r="H8" s="2662"/>
      <c r="I8" s="2662"/>
      <c r="J8" s="2438"/>
      <c r="K8" s="2613"/>
      <c r="L8" s="2612"/>
      <c r="M8" s="2612"/>
      <c r="N8" s="2438"/>
      <c r="O8" s="2449"/>
      <c r="P8" s="2438"/>
      <c r="Q8" s="2438"/>
      <c r="R8" s="2438"/>
    </row>
    <row r="9" spans="1:30" ht="13.5" thickBot="1">
      <c r="A9" s="2393" t="s">
        <v>2174</v>
      </c>
      <c r="B9" s="2394" t="s">
        <v>3380</v>
      </c>
      <c r="C9" s="2395"/>
      <c r="D9" s="3553"/>
      <c r="E9" s="2394" t="s">
        <v>586</v>
      </c>
      <c r="F9" s="2396"/>
      <c r="G9" s="2664"/>
      <c r="H9" s="2664"/>
      <c r="I9" s="2664"/>
      <c r="J9" s="2438"/>
      <c r="K9" s="2615"/>
      <c r="L9" s="2612"/>
      <c r="M9" s="2612"/>
      <c r="N9" s="2438"/>
      <c r="O9" s="2449"/>
      <c r="P9" s="2438"/>
      <c r="Q9" s="2438"/>
      <c r="R9" s="2438"/>
    </row>
    <row r="10" spans="1:30" ht="13.5" thickTop="1">
      <c r="A10" s="2397" t="s">
        <v>2175</v>
      </c>
      <c r="B10" s="2398" t="s">
        <v>3381</v>
      </c>
      <c r="C10" s="2399"/>
      <c r="D10" s="2382"/>
      <c r="E10" s="2400" t="s">
        <v>2176</v>
      </c>
      <c r="F10" s="2665" t="s">
        <v>3461</v>
      </c>
      <c r="G10" s="2666"/>
      <c r="H10" s="2667"/>
      <c r="I10" s="2668"/>
      <c r="J10" s="2438"/>
      <c r="K10" s="2615"/>
      <c r="L10" s="2612"/>
      <c r="M10" s="2612"/>
      <c r="N10" s="2438"/>
      <c r="O10" s="2449"/>
      <c r="P10" s="2438"/>
      <c r="Q10" s="2438"/>
      <c r="R10" s="2438"/>
    </row>
    <row r="11" spans="1:30">
      <c r="A11" s="2401" t="s">
        <v>2177</v>
      </c>
      <c r="B11" s="2402" t="s">
        <v>3382</v>
      </c>
      <c r="C11" s="3457" t="s">
        <v>3458</v>
      </c>
      <c r="D11" s="2403"/>
      <c r="E11" s="2370"/>
      <c r="F11" s="2370"/>
      <c r="G11" s="2370"/>
      <c r="H11" s="2370"/>
      <c r="I11" s="2370"/>
      <c r="J11" s="3060"/>
      <c r="K11" s="3059"/>
      <c r="L11" s="2612"/>
      <c r="M11" s="2612"/>
      <c r="N11" s="2438"/>
      <c r="O11" s="2449"/>
      <c r="P11" s="2438"/>
      <c r="Q11" s="2438"/>
      <c r="R11" s="2438"/>
    </row>
    <row r="12" spans="1:30">
      <c r="A12" s="2404" t="s">
        <v>2178</v>
      </c>
      <c r="B12" s="323" t="s">
        <v>2179</v>
      </c>
      <c r="C12" s="3456" t="s">
        <v>2180</v>
      </c>
      <c r="D12" s="2405" t="s">
        <v>2181</v>
      </c>
      <c r="E12" s="2405" t="s">
        <v>2182</v>
      </c>
      <c r="F12" s="2405" t="s">
        <v>2183</v>
      </c>
      <c r="G12" s="2405" t="s">
        <v>2184</v>
      </c>
      <c r="H12" s="2405" t="s">
        <v>2185</v>
      </c>
      <c r="I12" s="3058" t="s">
        <v>2576</v>
      </c>
      <c r="J12" s="3061"/>
      <c r="K12" s="2612"/>
      <c r="L12" s="2612"/>
      <c r="M12" s="2438"/>
      <c r="N12" s="2449"/>
      <c r="O12" s="2438"/>
      <c r="P12" s="2438"/>
      <c r="Q12" s="2438"/>
      <c r="AD12" s="1745"/>
    </row>
    <row r="13" spans="1:30">
      <c r="A13" s="3422" t="s">
        <v>3332</v>
      </c>
      <c r="B13" s="2406" t="s">
        <v>2186</v>
      </c>
      <c r="C13" s="856"/>
      <c r="D13" s="856"/>
      <c r="E13" s="856">
        <v>58809</v>
      </c>
      <c r="F13" s="856"/>
      <c r="G13" s="856"/>
      <c r="H13" s="856"/>
      <c r="I13" s="856"/>
      <c r="J13" s="3061"/>
      <c r="K13" s="2612"/>
      <c r="L13" s="2612"/>
      <c r="M13" s="2438"/>
      <c r="N13" s="2449"/>
      <c r="O13" s="2438"/>
      <c r="P13" s="2438"/>
      <c r="Q13" s="2438"/>
      <c r="AD13" s="1745"/>
    </row>
    <row r="14" spans="1:30">
      <c r="A14" s="1081"/>
      <c r="B14" s="2406" t="s">
        <v>2187</v>
      </c>
      <c r="C14" s="2407"/>
      <c r="D14" s="2407"/>
      <c r="E14" s="2407">
        <v>50</v>
      </c>
      <c r="F14" s="2407"/>
      <c r="G14" s="2407"/>
      <c r="H14" s="2407"/>
      <c r="I14" s="2407"/>
      <c r="J14" s="3062"/>
      <c r="K14" s="2612"/>
      <c r="L14" s="2612"/>
      <c r="M14" s="2438"/>
      <c r="N14" s="2449"/>
      <c r="O14" s="2438"/>
      <c r="P14" s="2438"/>
      <c r="Q14" s="2438"/>
      <c r="AD14" s="1745"/>
    </row>
    <row r="15" spans="1:30">
      <c r="A15" s="320"/>
      <c r="B15" s="2408" t="s">
        <v>2188</v>
      </c>
      <c r="C15" s="2409" t="str">
        <f>IF(A13="出让",IF(C13="","",ROUNDDOWN(MIN((C13-$D$3)/365,C14),2)),C14)</f>
        <v/>
      </c>
      <c r="D15" s="2409" t="str">
        <f>IF(A13="出让",IF(D13="","",ROUNDDOWN(MIN((D13-$D$3)/365,D14),2)),D14)</f>
        <v/>
      </c>
      <c r="E15" s="2409">
        <f>IF(A13="出让",IF(E13="","",ROUNDDOWN(MIN((E13-$D$3)/365,E14),2)),E14)</f>
        <v>36.72</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2189</v>
      </c>
      <c r="B16" s="3559" t="s">
        <v>3383</v>
      </c>
      <c r="C16" s="3560"/>
      <c r="D16" s="3561"/>
      <c r="E16" s="2412" t="s">
        <v>2190</v>
      </c>
      <c r="F16" s="3562">
        <v>36.72</v>
      </c>
      <c r="G16" s="3563"/>
      <c r="H16" s="3563"/>
      <c r="I16" s="3564"/>
      <c r="J16" s="2438"/>
      <c r="K16" s="2616"/>
      <c r="L16" s="2450"/>
      <c r="M16" s="2450"/>
      <c r="N16" s="2508"/>
      <c r="O16" s="2450"/>
      <c r="P16" s="2508"/>
      <c r="Q16" s="2438"/>
      <c r="R16" s="2438"/>
    </row>
    <row r="17" spans="1:28">
      <c r="A17" s="313" t="s">
        <v>2191</v>
      </c>
      <c r="B17" s="302" t="s">
        <v>2192</v>
      </c>
      <c r="C17" s="8">
        <f>'数据-汇总表'!E3</f>
        <v>139.07999999999998</v>
      </c>
      <c r="D17" s="2322" t="s">
        <v>2193</v>
      </c>
      <c r="E17" s="3565" t="s">
        <v>2194</v>
      </c>
      <c r="F17" s="3566"/>
      <c r="G17" s="3566"/>
      <c r="H17" s="3566"/>
      <c r="I17" s="3567"/>
      <c r="J17" s="2438"/>
      <c r="K17" s="2617"/>
      <c r="L17" s="2450"/>
      <c r="M17" s="2450"/>
      <c r="N17" s="2508"/>
      <c r="O17" s="2450"/>
      <c r="P17" s="2508"/>
      <c r="Q17" s="2438"/>
      <c r="R17" s="2438"/>
      <c r="S17" s="2438"/>
      <c r="T17" s="2438"/>
      <c r="U17" s="2438"/>
      <c r="V17" s="2438"/>
    </row>
    <row r="18" spans="1:28" ht="24.75" thickBot="1">
      <c r="A18" s="2413" t="s">
        <v>2195</v>
      </c>
      <c r="B18" s="1090" t="s">
        <v>2196</v>
      </c>
      <c r="C18" s="2414">
        <f>'数据-汇总表'!D3</f>
        <v>0</v>
      </c>
      <c r="D18" s="1092" t="s">
        <v>2197</v>
      </c>
      <c r="E18" s="3568" t="s">
        <v>2198</v>
      </c>
      <c r="F18" s="3569"/>
      <c r="G18" s="3569"/>
      <c r="H18" s="3569"/>
      <c r="I18" s="3570"/>
      <c r="J18" s="2438"/>
      <c r="K18" s="2617"/>
      <c r="L18" s="2450"/>
      <c r="M18" s="2450"/>
      <c r="N18" s="2508"/>
      <c r="O18" s="2450"/>
      <c r="P18" s="2508"/>
      <c r="Q18" s="2438"/>
      <c r="R18" s="2438"/>
      <c r="S18" s="2438"/>
      <c r="T18" s="2438"/>
      <c r="U18" s="2438"/>
      <c r="V18" s="2438"/>
    </row>
    <row r="19" spans="1:28" ht="37.5" thickTop="1" thickBot="1">
      <c r="A19" s="327" t="s">
        <v>1052</v>
      </c>
      <c r="B19" s="307" t="s">
        <v>2199</v>
      </c>
      <c r="C19" s="1563" t="s">
        <v>3386</v>
      </c>
      <c r="D19" s="1564" t="s">
        <v>2200</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2201</v>
      </c>
      <c r="B20" s="3555" t="s">
        <v>2202</v>
      </c>
      <c r="C20" s="3556"/>
      <c r="D20" s="3557" t="s">
        <v>2203</v>
      </c>
      <c r="E20" s="3558"/>
      <c r="F20" s="2646" t="s">
        <v>1053</v>
      </c>
      <c r="G20" s="2663"/>
      <c r="H20" s="2663"/>
      <c r="I20" s="2663"/>
      <c r="J20" s="2438"/>
      <c r="K20" s="3554"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2205</v>
      </c>
      <c r="C21" s="2633" t="s">
        <v>1054</v>
      </c>
      <c r="D21" s="1568" t="s">
        <v>2206</v>
      </c>
      <c r="E21" s="2634" t="s">
        <v>1054</v>
      </c>
      <c r="F21" s="2647"/>
      <c r="G21" s="2663"/>
      <c r="H21" s="2663"/>
      <c r="I21" s="2663"/>
      <c r="J21" s="2438"/>
      <c r="K21" s="355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2207</v>
      </c>
      <c r="C22" s="2633" t="s">
        <v>1055</v>
      </c>
      <c r="D22" s="2662"/>
      <c r="E22" s="2662"/>
      <c r="F22" s="2662"/>
      <c r="G22" s="2663"/>
      <c r="H22" s="2663"/>
      <c r="I22" s="2663"/>
      <c r="J22" s="2438"/>
      <c r="K22" s="3554"/>
      <c r="L22" s="684" t="str">
        <f>IF(E19="否","",IF(结果表413!D36="同一抵押权人同一抵押物续贷","由于本次评估为同一抵押权人的续贷房地产抵押估价，故未将已抵押担保的债权数额（"&amp;C26&amp;"）作为法定优先受偿款予以扣减。",IF(结果表413!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2208</v>
      </c>
      <c r="B23" s="2501" t="s">
        <v>2209</v>
      </c>
      <c r="C23" s="2637"/>
      <c r="D23" s="2638" t="s">
        <v>2209</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1056</v>
      </c>
      <c r="C24" s="2640"/>
      <c r="D24" s="2636" t="s">
        <v>1056</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1057</v>
      </c>
      <c r="C25" s="2640"/>
      <c r="D25" s="2636" t="s">
        <v>1057</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1058</v>
      </c>
      <c r="C26" s="2644"/>
      <c r="D26" s="2642" t="s">
        <v>1058</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2" t="s">
        <v>2210</v>
      </c>
      <c r="B27" s="320" t="s">
        <v>2211</v>
      </c>
      <c r="C27" s="2415" t="s">
        <v>3384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2"/>
      <c r="B28" s="302" t="s">
        <v>2212</v>
      </c>
      <c r="C28" s="2417" t="s">
        <v>3385</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2"/>
      <c r="B29" s="302" t="s">
        <v>2213</v>
      </c>
      <c r="C29" s="2419" t="s">
        <v>3386</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3"/>
      <c r="B30" s="302" t="s">
        <v>2214</v>
      </c>
      <c r="C30" s="3544"/>
      <c r="D30" s="3545"/>
      <c r="E30" s="2663"/>
      <c r="F30" s="2663"/>
      <c r="G30" s="2663"/>
      <c r="H30" s="2663"/>
      <c r="I30" s="2663"/>
      <c r="J30" s="2438"/>
      <c r="K30" s="2615"/>
      <c r="L30" s="2612"/>
      <c r="M30" s="2612"/>
      <c r="N30" s="2438"/>
      <c r="O30" s="2449"/>
      <c r="P30" s="2438"/>
      <c r="Q30" s="2438"/>
      <c r="R30" s="2438"/>
      <c r="S30" s="2438"/>
      <c r="T30" s="2438"/>
      <c r="U30" s="2438"/>
      <c r="V30" s="2438"/>
    </row>
    <row r="31" spans="1:28">
      <c r="A31" s="3546" t="s">
        <v>2215</v>
      </c>
      <c r="B31" s="2421" t="s">
        <v>3387</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47"/>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47"/>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2216</v>
      </c>
      <c r="B34" s="2026"/>
      <c r="C34" s="2026"/>
      <c r="D34" s="2026"/>
      <c r="E34" s="2026"/>
      <c r="F34" s="2026"/>
      <c r="G34" s="2026"/>
      <c r="H34" s="2026"/>
      <c r="I34" s="2663"/>
      <c r="J34" s="2438"/>
      <c r="K34" s="2426">
        <f>COUNTIF(B34:H34,"——")</f>
        <v>0</v>
      </c>
      <c r="L34" s="323" t="s">
        <v>2217</v>
      </c>
      <c r="M34" s="323" t="s">
        <v>2218</v>
      </c>
      <c r="N34" s="323" t="s">
        <v>2219</v>
      </c>
      <c r="O34" s="323" t="s">
        <v>2220</v>
      </c>
      <c r="P34" s="323" t="s">
        <v>2221</v>
      </c>
      <c r="Q34" s="323" t="s">
        <v>2222</v>
      </c>
      <c r="R34" s="323" t="s">
        <v>2223</v>
      </c>
      <c r="S34" s="3541" t="s">
        <v>2224</v>
      </c>
      <c r="T34" s="2427" t="str">
        <f>NUMBERSTRING(7-K34,1)&amp;"通"</f>
        <v>七通</v>
      </c>
      <c r="U34" s="2438"/>
      <c r="V34" s="2438"/>
    </row>
    <row r="35" spans="1:30">
      <c r="A35" s="2428"/>
      <c r="B35" s="3548" t="s">
        <v>2225</v>
      </c>
      <c r="C35" s="3548"/>
      <c r="D35" s="3548"/>
      <c r="E35" s="354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1"/>
      <c r="T35" s="329" t="str">
        <f>IF(T34="一通",L35,IF(T34="二通",M35,IF(T34="三通",N35,IF(T34="四通",O35,IF(T34="五通",P35,IF(T34="六通",Q35,R35))))))</f>
        <v>、、、、、、</v>
      </c>
      <c r="U35" s="2438"/>
      <c r="V35" s="2438"/>
    </row>
    <row r="36" spans="1:30">
      <c r="A36" s="2429"/>
      <c r="B36" s="664" t="s">
        <v>2181</v>
      </c>
      <c r="C36" s="664" t="s">
        <v>2182</v>
      </c>
      <c r="D36" s="664" t="s">
        <v>2180</v>
      </c>
      <c r="E36" s="664" t="s">
        <v>2185</v>
      </c>
      <c r="F36" s="3064" t="s">
        <v>2579</v>
      </c>
      <c r="G36" s="2663"/>
      <c r="H36" s="2663"/>
      <c r="I36" s="2663"/>
      <c r="J36" s="2438"/>
      <c r="K36" s="2615"/>
      <c r="L36" s="2612"/>
      <c r="M36" s="2612"/>
      <c r="N36" s="2438"/>
      <c r="O36" s="2449"/>
      <c r="P36" s="2438"/>
      <c r="Q36" s="2438"/>
      <c r="R36" s="2438"/>
      <c r="S36" s="2438"/>
      <c r="T36" s="2438"/>
      <c r="U36" s="2438"/>
      <c r="V36" s="2438"/>
    </row>
    <row r="37" spans="1:30">
      <c r="A37" s="2629" t="s">
        <v>2226</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2227</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2228</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2229</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2230</v>
      </c>
      <c r="B42" s="8" t="s">
        <v>2231</v>
      </c>
      <c r="C42" s="8" t="s">
        <v>2232</v>
      </c>
      <c r="D42" s="8" t="s">
        <v>2233</v>
      </c>
      <c r="E42" s="8" t="s">
        <v>2234</v>
      </c>
      <c r="F42" s="8" t="s">
        <v>2235</v>
      </c>
      <c r="G42" s="8" t="s">
        <v>2236</v>
      </c>
      <c r="H42" s="8" t="s">
        <v>2237</v>
      </c>
      <c r="I42" s="8" t="s">
        <v>2238</v>
      </c>
      <c r="J42" s="2625" t="s">
        <v>2239</v>
      </c>
      <c r="K42" s="2626" t="s">
        <v>2240</v>
      </c>
      <c r="L42" s="2626" t="s">
        <v>2241</v>
      </c>
      <c r="M42" s="2626" t="s">
        <v>2242</v>
      </c>
      <c r="N42" s="2619" t="s">
        <v>2243</v>
      </c>
      <c r="O42" s="2619" t="s">
        <v>2244</v>
      </c>
      <c r="P42" s="2619" t="s">
        <v>2245</v>
      </c>
      <c r="Q42" s="2620" t="s">
        <v>2246</v>
      </c>
      <c r="R42" s="2620" t="s">
        <v>2247</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41" sqref="L4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1059</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1060</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1061</v>
      </c>
      <c r="B2" s="8" t="s">
        <v>1062</v>
      </c>
      <c r="C2" s="8" t="s">
        <v>1063</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1064</v>
      </c>
      <c r="AZ2" s="1049" t="s">
        <v>1065</v>
      </c>
      <c r="BA2" s="8" t="s">
        <v>1066</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139.07999999999998</v>
      </c>
      <c r="C3" s="1580" t="s">
        <v>1067</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1068</v>
      </c>
      <c r="B5" s="1347"/>
      <c r="C5" s="1347"/>
      <c r="D5" s="1349"/>
      <c r="E5" s="13" t="s">
        <v>0</v>
      </c>
      <c r="F5" s="13">
        <f>SUM(F13:F587)</f>
        <v>0</v>
      </c>
      <c r="G5" s="13">
        <f>SUM(G13:G587)</f>
        <v>139.07999999999998</v>
      </c>
      <c r="H5" s="13">
        <f t="shared" ref="H5:AT5" si="0">SUM(H13:H656)</f>
        <v>139.07999999999998</v>
      </c>
      <c r="I5" s="13">
        <f t="shared" si="0"/>
        <v>139.07999999999998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1068</v>
      </c>
      <c r="AW5" s="1347"/>
      <c r="AX5" s="1347"/>
      <c r="AY5" s="14" t="s">
        <v>2</v>
      </c>
      <c r="AZ5" s="15">
        <f t="shared" ref="AZ5:BT5" si="1">SUM(AZ13:AZ656)</f>
        <v>139.07999999999998</v>
      </c>
      <c r="BA5" s="15">
        <f t="shared" si="1"/>
        <v>139.07999999999998</v>
      </c>
      <c r="BB5" s="15">
        <f t="shared" si="1"/>
        <v>139.07999999999998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1069</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1069</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1070</v>
      </c>
      <c r="B7" s="1569" t="s">
        <v>1071</v>
      </c>
      <c r="C7" s="1569" t="s">
        <v>1072</v>
      </c>
      <c r="D7" s="1569" t="s">
        <v>1073</v>
      </c>
      <c r="E7" s="1569" t="s">
        <v>1074</v>
      </c>
      <c r="F7" s="1569" t="s">
        <v>1075</v>
      </c>
      <c r="G7" s="1590" t="s">
        <v>1076</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1077</v>
      </c>
      <c r="AV7" s="20" t="s">
        <v>1078</v>
      </c>
      <c r="AW7" s="1578" t="s">
        <v>1079</v>
      </c>
      <c r="AX7" s="20" t="s">
        <v>1072</v>
      </c>
      <c r="AY7" s="1347" t="s">
        <v>1080</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1081</v>
      </c>
      <c r="H8" s="1596" t="s">
        <v>1082</v>
      </c>
      <c r="I8" s="1597"/>
      <c r="J8" s="1360"/>
      <c r="K8" s="1360"/>
      <c r="L8" s="1360"/>
      <c r="M8" s="1360"/>
      <c r="N8" s="1360"/>
      <c r="O8" s="1360"/>
      <c r="P8" s="1360"/>
      <c r="Q8" s="1360"/>
      <c r="R8" s="1360"/>
      <c r="S8" s="1360"/>
      <c r="T8" s="1360"/>
      <c r="U8" s="1360"/>
      <c r="V8" s="1598"/>
      <c r="W8" s="1360"/>
      <c r="X8" s="1360"/>
      <c r="Y8" s="1360"/>
      <c r="Z8" s="1360"/>
      <c r="AA8" s="1598"/>
      <c r="AB8" s="1599"/>
      <c r="AC8" s="809" t="s">
        <v>1083</v>
      </c>
      <c r="AD8" s="1600"/>
      <c r="AE8" s="1592"/>
      <c r="AF8" s="1360"/>
      <c r="AG8" s="1360"/>
      <c r="AH8" s="1360"/>
      <c r="AI8" s="1360"/>
      <c r="AJ8" s="1360"/>
      <c r="AK8" s="1360"/>
      <c r="AL8" s="1360"/>
      <c r="AM8" s="1360"/>
      <c r="AN8" s="1360"/>
      <c r="AO8" s="1360"/>
      <c r="AP8" s="1360"/>
      <c r="AQ8" s="1360"/>
      <c r="AR8" s="1360"/>
      <c r="AS8" s="1360"/>
      <c r="AT8" s="1070" t="s">
        <v>1084</v>
      </c>
      <c r="AU8" s="1594" t="s">
        <v>1085</v>
      </c>
      <c r="AV8" s="1070"/>
      <c r="AW8" s="1577"/>
      <c r="AX8" s="1070"/>
      <c r="AY8" s="1578" t="s">
        <v>1086</v>
      </c>
      <c r="AZ8" s="1359" t="s">
        <v>1087</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1088</v>
      </c>
      <c r="I9" s="1603" t="s">
        <v>3388</v>
      </c>
      <c r="J9" s="809"/>
      <c r="K9" s="1603"/>
      <c r="L9" s="809"/>
      <c r="M9" s="1603"/>
      <c r="N9" s="809"/>
      <c r="O9" s="1603"/>
      <c r="P9" s="809"/>
      <c r="Q9" s="1603"/>
      <c r="R9" s="809"/>
      <c r="S9" s="1603"/>
      <c r="T9" s="809"/>
      <c r="U9" s="1603"/>
      <c r="V9" s="809"/>
      <c r="W9" s="1603"/>
      <c r="X9" s="1604"/>
      <c r="Y9" s="1603"/>
      <c r="Z9" s="809"/>
      <c r="AA9" s="1603"/>
      <c r="AB9" s="809"/>
      <c r="AC9" s="1595" t="s">
        <v>1088</v>
      </c>
      <c r="AD9" s="12" t="s">
        <v>1089</v>
      </c>
      <c r="AE9" s="1076"/>
      <c r="AF9" s="12" t="s">
        <v>1090</v>
      </c>
      <c r="AG9" s="1076"/>
      <c r="AH9" s="12" t="s">
        <v>1089</v>
      </c>
      <c r="AI9" s="1076"/>
      <c r="AJ9" s="12" t="s">
        <v>1090</v>
      </c>
      <c r="AK9" s="1076"/>
      <c r="AL9" s="12" t="s">
        <v>1089</v>
      </c>
      <c r="AM9" s="1076"/>
      <c r="AN9" s="12" t="s">
        <v>1090</v>
      </c>
      <c r="AO9" s="1076"/>
      <c r="AP9" s="12" t="s">
        <v>1089</v>
      </c>
      <c r="AQ9" s="1076"/>
      <c r="AR9" s="12" t="s">
        <v>1090</v>
      </c>
      <c r="AS9" s="1605"/>
      <c r="AT9" s="1594"/>
      <c r="AU9" s="1594" t="s">
        <v>1091</v>
      </c>
      <c r="AV9" s="1070"/>
      <c r="AW9" s="1577"/>
      <c r="AX9" s="1070"/>
      <c r="AY9" s="25"/>
      <c r="AZ9" s="25" t="s">
        <v>1081</v>
      </c>
      <c r="BA9" s="1606" t="s">
        <v>1092</v>
      </c>
      <c r="BB9" s="1607"/>
      <c r="BC9" s="1088"/>
      <c r="BD9" s="1088"/>
      <c r="BE9" s="1088"/>
      <c r="BF9" s="1088"/>
      <c r="BG9" s="1088"/>
      <c r="BH9" s="1088"/>
      <c r="BI9" s="1088"/>
      <c r="BJ9" s="1088"/>
      <c r="BK9" s="1608"/>
      <c r="BL9" s="12" t="s">
        <v>1093</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1094</v>
      </c>
      <c r="AE10" s="1610"/>
      <c r="AF10" s="12" t="s">
        <v>1094</v>
      </c>
      <c r="AG10" s="1610"/>
      <c r="AH10" s="12" t="s">
        <v>1095</v>
      </c>
      <c r="AI10" s="1610"/>
      <c r="AJ10" s="12" t="s">
        <v>1095</v>
      </c>
      <c r="AK10" s="1610"/>
      <c r="AL10" s="12" t="s">
        <v>1096</v>
      </c>
      <c r="AM10" s="1076"/>
      <c r="AN10" s="12" t="s">
        <v>1096</v>
      </c>
      <c r="AO10" s="1076"/>
      <c r="AP10" s="12" t="s">
        <v>1097</v>
      </c>
      <c r="AQ10" s="1076"/>
      <c r="AR10" s="12" t="s">
        <v>1097</v>
      </c>
      <c r="AS10" s="1076"/>
      <c r="AT10" s="1594"/>
      <c r="AU10" s="1594"/>
      <c r="AV10" s="1070"/>
      <c r="AW10" s="1577"/>
      <c r="AX10" s="1070"/>
      <c r="AY10" s="25"/>
      <c r="AZ10" s="25"/>
      <c r="BA10" s="1611" t="s">
        <v>1088</v>
      </c>
      <c r="BB10" s="1612" t="str">
        <f>I9</f>
        <v>地上</v>
      </c>
      <c r="BC10" s="26">
        <f>K9</f>
        <v>0</v>
      </c>
      <c r="BD10" s="26">
        <f>M9</f>
        <v>0</v>
      </c>
      <c r="BE10" s="26">
        <f>O9</f>
        <v>0</v>
      </c>
      <c r="BF10" s="26">
        <f>Q9</f>
        <v>0</v>
      </c>
      <c r="BG10" s="26">
        <f>S9</f>
        <v>0</v>
      </c>
      <c r="BH10" s="26">
        <f>U9</f>
        <v>0</v>
      </c>
      <c r="BI10" s="26">
        <f>W9</f>
        <v>0</v>
      </c>
      <c r="BJ10" s="26">
        <f>Y9</f>
        <v>0</v>
      </c>
      <c r="BK10" s="26">
        <f>AA9</f>
        <v>0</v>
      </c>
      <c r="BL10" s="22" t="s">
        <v>1088</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1098</v>
      </c>
      <c r="AE11" s="1361"/>
      <c r="AF11" s="1616" t="s">
        <v>1098</v>
      </c>
      <c r="AG11" s="1361"/>
      <c r="AH11" s="1616" t="s">
        <v>1099</v>
      </c>
      <c r="AI11" s="1617"/>
      <c r="AJ11" s="1616" t="s">
        <v>1099</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6" t="s">
        <v>1101</v>
      </c>
      <c r="W12" s="8" t="s">
        <v>1100</v>
      </c>
      <c r="X12" s="8" t="s">
        <v>1101</v>
      </c>
      <c r="Y12" s="8" t="s">
        <v>1100</v>
      </c>
      <c r="Z12" s="8" t="s">
        <v>1101</v>
      </c>
      <c r="AA12" s="8" t="s">
        <v>1100</v>
      </c>
      <c r="AB12" s="8" t="s">
        <v>1101</v>
      </c>
      <c r="AC12" s="1621"/>
      <c r="AD12" s="13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9" t="s">
        <v>1101</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413</v>
      </c>
      <c r="D13" s="1625" t="s">
        <v>3390</v>
      </c>
      <c r="E13" s="13">
        <f>IF($C$3="是",ROUND($A$3*G13/$B$3,2),ROUND($A$3*(G13-AT13)/$B$3,2))</f>
        <v>0</v>
      </c>
      <c r="F13" s="29"/>
      <c r="G13" s="30">
        <f>H13+AC13+AT13</f>
        <v>58.44</v>
      </c>
      <c r="H13" s="17">
        <f>SUMIF(I$12:AB$12,"总值",I13:AB13)</f>
        <v>58.44</v>
      </c>
      <c r="I13" s="1626">
        <v>58.44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413</v>
      </c>
      <c r="AY13" s="1349">
        <f>ROUND($AY$6*AZ13/$AZ$5,2)</f>
        <v>0</v>
      </c>
      <c r="AZ13" s="13">
        <f>BA13+BL13</f>
        <v>58.44</v>
      </c>
      <c r="BA13" s="13">
        <f>SUM(BB13:BK13)</f>
        <v>58.44</v>
      </c>
      <c r="BB13" s="13">
        <f>IF($D13="是",I13-J13,0)</f>
        <v>58.44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413</v>
      </c>
      <c r="D14" s="1625" t="s">
        <v>3390</v>
      </c>
      <c r="E14" s="13">
        <f>IF($C$3="是",ROUND($A$3*G14/$B$3,2),ROUND($A$3*(G14-AT14)/$B$3,2))</f>
        <v>0</v>
      </c>
      <c r="F14" s="29"/>
      <c r="G14" s="30">
        <f>H14+AC14+AT14</f>
        <v>80.64</v>
      </c>
      <c r="H14" s="17">
        <f>SUMIF(I$12:AB$12,"总值",I14:AB14)</f>
        <v>80.64</v>
      </c>
      <c r="I14" s="1626">
        <v>80.64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413</v>
      </c>
      <c r="AY14" s="1349">
        <f>ROUND($AY$6*AZ14/$AZ$5,2)</f>
        <v>0</v>
      </c>
      <c r="AZ14" s="13">
        <f>BA14+BL14</f>
        <v>80.64</v>
      </c>
      <c r="BA14" s="13">
        <f>SUM(BB14:BK14)</f>
        <v>80.64</v>
      </c>
      <c r="BB14" s="13">
        <f>IF($D14="是",I14-J14,0)</f>
        <v>80.64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47" sqref="J4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1127</v>
      </c>
      <c r="B1" s="1139"/>
      <c r="C1" s="1139"/>
      <c r="D1" s="1139"/>
      <c r="E1" s="1139"/>
      <c r="F1" s="1139"/>
      <c r="G1" s="1139"/>
      <c r="H1" s="1139"/>
      <c r="I1" s="1139"/>
      <c r="J1" s="1139"/>
      <c r="K1" s="1139"/>
      <c r="L1" s="1139"/>
      <c r="M1" s="1139"/>
      <c r="N1" s="1139"/>
      <c r="O1" s="1139"/>
      <c r="P1" s="1139"/>
    </row>
    <row r="2" spans="1:16" ht="15">
      <c r="A2" s="3580" t="s">
        <v>1128</v>
      </c>
      <c r="B2" s="3580"/>
      <c r="C2" s="3580"/>
      <c r="D2" s="796" t="s">
        <v>1104</v>
      </c>
      <c r="E2" s="1639" t="s">
        <v>1105</v>
      </c>
      <c r="F2" s="2658"/>
      <c r="G2" s="2649"/>
      <c r="H2" s="2650"/>
      <c r="I2" s="2325" t="s">
        <v>1129</v>
      </c>
      <c r="J2" s="2658"/>
      <c r="K2" s="2658"/>
      <c r="L2" s="2658"/>
      <c r="M2" s="2658"/>
      <c r="N2" s="2660"/>
      <c r="O2" s="2658"/>
      <c r="P2" s="2658"/>
    </row>
    <row r="3" spans="1:16" ht="15.75" thickBot="1">
      <c r="A3" s="3581" t="s">
        <v>1102</v>
      </c>
      <c r="B3" s="3581"/>
      <c r="C3" s="3581"/>
      <c r="D3" s="43">
        <f>'数据-基础表'!AY6</f>
        <v>0</v>
      </c>
      <c r="E3" s="43">
        <f>'数据-基础表'!AZ5</f>
        <v>139.07999999999998</v>
      </c>
      <c r="F3" s="2658"/>
      <c r="G3" s="1145"/>
      <c r="H3" s="1026" t="s">
        <v>1103</v>
      </c>
      <c r="I3" s="855" t="e">
        <f>ROUND('数据-基础表'!B3/'数据-基础表'!A3,2)</f>
        <v>#DIV/0!</v>
      </c>
      <c r="J3" s="2658"/>
      <c r="K3" s="2658"/>
      <c r="L3" s="2658"/>
      <c r="M3" s="2658"/>
      <c r="N3" s="2660"/>
      <c r="O3" s="2658"/>
      <c r="P3" s="2658"/>
    </row>
    <row r="4" spans="1:16" ht="15">
      <c r="A4" s="3582"/>
      <c r="B4" s="3583"/>
      <c r="C4" s="3584"/>
      <c r="D4" s="1641" t="s">
        <v>1104</v>
      </c>
      <c r="E4" s="1642" t="s">
        <v>1105</v>
      </c>
      <c r="F4" s="2658"/>
      <c r="G4" s="2651" t="s">
        <v>1130</v>
      </c>
      <c r="H4" s="1026" t="s">
        <v>1110</v>
      </c>
      <c r="I4" s="855" t="e">
        <f>ROUND(SUMIF('数据-基础表'!I9:AS9,"地上",'数据-基础表'!I5:AS5)/'数据-基础表'!A3,2)</f>
        <v>#DIV/0!</v>
      </c>
      <c r="J4" s="2658"/>
      <c r="K4" s="2658"/>
      <c r="L4" s="2658"/>
      <c r="M4" s="2658"/>
      <c r="N4" s="2660"/>
      <c r="O4" s="2658"/>
      <c r="P4" s="2658"/>
    </row>
    <row r="5" spans="1:16">
      <c r="A5" s="44" t="s">
        <v>1106</v>
      </c>
      <c r="B5" s="3585" t="s">
        <v>1107</v>
      </c>
      <c r="C5" s="3585"/>
      <c r="D5" s="45">
        <f>ROUND($D$3*E5/$E$3,2)</f>
        <v>0</v>
      </c>
      <c r="E5" s="46">
        <f>SUMIF('数据-基础表'!$11:$11,"住宅",'数据-基础表'!$5:$5)</f>
        <v>0</v>
      </c>
      <c r="F5" s="2658"/>
      <c r="G5" s="1145"/>
      <c r="H5" s="1026" t="s">
        <v>1103</v>
      </c>
      <c r="I5" s="855" t="e">
        <f>ROUND(E31/D31,2)</f>
        <v>#DIV/0!</v>
      </c>
      <c r="J5" s="2658"/>
      <c r="K5" s="2658"/>
      <c r="L5" s="2658"/>
      <c r="M5" s="2658"/>
      <c r="N5" s="2658"/>
      <c r="O5" s="2658"/>
      <c r="P5" s="2658"/>
    </row>
    <row r="6" spans="1:16" ht="15" thickBot="1">
      <c r="A6" s="1644"/>
      <c r="B6" s="3585" t="s">
        <v>1108</v>
      </c>
      <c r="C6" s="3585"/>
      <c r="D6" s="45">
        <f>ROUND($D$3*E6/$E$3,2)</f>
        <v>0</v>
      </c>
      <c r="E6" s="46">
        <f>E3-E5</f>
        <v>139.07999999999998</v>
      </c>
      <c r="F6" s="2658"/>
      <c r="G6" s="2652" t="s">
        <v>1109</v>
      </c>
      <c r="H6" s="1146" t="s">
        <v>1110</v>
      </c>
      <c r="I6" s="2653" t="e">
        <f>ROUND(F31/D31,2)</f>
        <v>#DIV/0!</v>
      </c>
      <c r="J6" s="2658"/>
      <c r="K6" s="2658"/>
      <c r="L6" s="2658"/>
      <c r="M6" s="2658"/>
      <c r="N6" s="2658"/>
      <c r="O6" s="2658"/>
      <c r="P6" s="2658"/>
    </row>
    <row r="7" spans="1:16" ht="15.75" thickBot="1">
      <c r="A7" s="3577"/>
      <c r="B7" s="3578"/>
      <c r="C7" s="3579"/>
      <c r="D7" s="1641" t="s">
        <v>1104</v>
      </c>
      <c r="E7" s="1645" t="s">
        <v>1111</v>
      </c>
      <c r="F7" s="2658"/>
      <c r="G7" s="2654" t="s">
        <v>1112</v>
      </c>
      <c r="H7" s="2655"/>
      <c r="I7" s="2656"/>
      <c r="J7" s="2658"/>
      <c r="K7" s="2658"/>
      <c r="L7" s="2658"/>
      <c r="M7" s="2658"/>
      <c r="N7" s="2658"/>
      <c r="O7" s="2658"/>
      <c r="P7" s="2658"/>
    </row>
    <row r="8" spans="1:16">
      <c r="A8" s="44" t="s">
        <v>1113</v>
      </c>
      <c r="B8" s="47" t="s">
        <v>1114</v>
      </c>
      <c r="C8" s="45" t="s">
        <v>1115</v>
      </c>
      <c r="D8" s="45">
        <f t="shared" ref="D8:D15" si="0">ROUND($D$3*E8/$E$3,2)</f>
        <v>0</v>
      </c>
      <c r="E8" s="48">
        <f>SUMIF('数据-基础表'!BB10:BK10,"地上",'数据-基础表'!BB5:BK5)</f>
        <v>139.07999999999998</v>
      </c>
      <c r="F8" s="2658"/>
      <c r="G8" s="2659"/>
      <c r="H8" s="2659"/>
      <c r="I8" s="2658"/>
      <c r="J8" s="2658"/>
      <c r="K8" s="2658"/>
      <c r="L8" s="2658"/>
      <c r="M8" s="2658"/>
      <c r="N8" s="2658"/>
      <c r="O8" s="2658"/>
      <c r="P8" s="2658"/>
    </row>
    <row r="9" spans="1:16">
      <c r="A9" s="1646"/>
      <c r="B9" s="1647"/>
      <c r="C9" s="45" t="s">
        <v>1116</v>
      </c>
      <c r="D9" s="45">
        <f t="shared" si="0"/>
        <v>0</v>
      </c>
      <c r="E9" s="49">
        <v>0</v>
      </c>
      <c r="F9" s="2658"/>
      <c r="G9" s="2659"/>
      <c r="H9" s="2659"/>
      <c r="I9" s="2658"/>
      <c r="J9" s="2658"/>
      <c r="K9" s="2658"/>
      <c r="L9" s="2658"/>
      <c r="M9" s="2658"/>
      <c r="N9" s="2658"/>
      <c r="O9" s="2658"/>
      <c r="P9" s="2658"/>
    </row>
    <row r="10" spans="1:16">
      <c r="A10" s="1646"/>
      <c r="B10" s="1647"/>
      <c r="C10" s="45" t="s">
        <v>1125</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1117</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1118</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1119</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1131</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1126</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1120</v>
      </c>
      <c r="D16" s="47">
        <f>SUM(D8:D15)</f>
        <v>0</v>
      </c>
      <c r="E16" s="50">
        <f>SUM(E8:E15)</f>
        <v>139.07999999999998</v>
      </c>
      <c r="F16" s="2658"/>
      <c r="G16" s="2659"/>
      <c r="H16" s="1648" t="s">
        <v>1132</v>
      </c>
      <c r="I16" s="1649"/>
      <c r="J16" s="1139"/>
      <c r="K16" s="3574" t="s">
        <v>1132</v>
      </c>
      <c r="L16" s="3575"/>
      <c r="M16" s="3575"/>
      <c r="N16" s="3575"/>
      <c r="O16" s="3575"/>
      <c r="P16" s="3576"/>
    </row>
    <row r="17" spans="1:19" ht="15">
      <c r="A17" s="1650" t="s">
        <v>1133</v>
      </c>
      <c r="B17" s="1651" t="s">
        <v>1134</v>
      </c>
      <c r="C17" s="1652" t="s">
        <v>1135</v>
      </c>
      <c r="D17" s="1653" t="s">
        <v>1123</v>
      </c>
      <c r="E17" s="1654" t="s">
        <v>1124</v>
      </c>
      <c r="F17" s="1655"/>
      <c r="G17" s="1656"/>
      <c r="H17" s="1657" t="s">
        <v>1136</v>
      </c>
      <c r="I17" s="1658" t="s">
        <v>1121</v>
      </c>
      <c r="J17" s="1139"/>
      <c r="K17" s="3571" t="s">
        <v>1137</v>
      </c>
      <c r="L17" s="3572"/>
      <c r="M17" s="3573"/>
      <c r="N17" s="3571" t="s">
        <v>1138</v>
      </c>
      <c r="O17" s="3572"/>
      <c r="P17" s="3573"/>
      <c r="R17" s="1640" t="s">
        <v>1139</v>
      </c>
      <c r="S17" s="56"/>
    </row>
    <row r="18" spans="1:19" ht="15">
      <c r="A18" s="1646"/>
      <c r="B18" s="1659"/>
      <c r="C18" s="1660"/>
      <c r="D18" s="1661"/>
      <c r="E18" s="1662" t="s">
        <v>1140</v>
      </c>
      <c r="F18" s="1663" t="s">
        <v>1141</v>
      </c>
      <c r="G18" s="1664" t="s">
        <v>1142</v>
      </c>
      <c r="H18" s="1041" t="s">
        <v>1143</v>
      </c>
      <c r="I18" s="1665" t="s">
        <v>1144</v>
      </c>
      <c r="J18" s="1139"/>
      <c r="K18" s="1041" t="s">
        <v>1145</v>
      </c>
      <c r="L18" s="1666" t="s">
        <v>1146</v>
      </c>
      <c r="M18" s="855" t="s">
        <v>1147</v>
      </c>
      <c r="N18" s="1041" t="s">
        <v>1145</v>
      </c>
      <c r="O18" s="1666" t="s">
        <v>1146</v>
      </c>
      <c r="P18" s="855" t="s">
        <v>1147</v>
      </c>
      <c r="R18" s="1026" t="s">
        <v>1148</v>
      </c>
      <c r="S18" s="1026" t="s">
        <v>1149</v>
      </c>
    </row>
    <row r="19" spans="1:19">
      <c r="A19" s="1667"/>
      <c r="B19" s="47" t="s">
        <v>1122</v>
      </c>
      <c r="C19" s="3416">
        <v>413</v>
      </c>
      <c r="D19" s="45">
        <f>ROUND($D$3*E19/$E$3,2)</f>
        <v>0</v>
      </c>
      <c r="E19" s="53">
        <f t="shared" ref="E19:E26" si="1">SUM(F19:G19)</f>
        <v>58.44</v>
      </c>
      <c r="F19" s="2794">
        <v>58.44</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58.44</v>
      </c>
    </row>
    <row r="20" spans="1:19">
      <c r="A20" s="1670"/>
      <c r="B20" s="47" t="s">
        <v>1150</v>
      </c>
      <c r="C20" s="3416">
        <v>414</v>
      </c>
      <c r="D20" s="45">
        <f t="shared" ref="D20:D26" si="6">ROUND($D$3*E20/$E$3,2)</f>
        <v>0</v>
      </c>
      <c r="E20" s="53">
        <f t="shared" si="1"/>
        <v>80.64</v>
      </c>
      <c r="F20" s="2794">
        <f>'数据-基础表'!I14</f>
        <v>80.64</v>
      </c>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80.64</v>
      </c>
    </row>
    <row r="21" spans="1:19">
      <c r="A21" s="1670"/>
      <c r="B21" s="47" t="s">
        <v>1150</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1150</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1150</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1150</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1150</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1150</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1151</v>
      </c>
      <c r="D27" s="1140">
        <f>SUM(D19:D26)</f>
        <v>0</v>
      </c>
      <c r="E27" s="1141">
        <f>IF(SUM(E19:E26)='数据-基础表'!BA5,SUM(E19:E26),IF(F27="地上面积有误","面积有误","地下面积有误"))</f>
        <v>139.07999999999998</v>
      </c>
      <c r="F27" s="1140">
        <f>IF(SUM(F19:F26)=E8,SUM(F19:F26),"地上面积有误")</f>
        <v>139.07999999999998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139.07999999999998</v>
      </c>
    </row>
    <row r="28" spans="1:19">
      <c r="A28" s="1670"/>
      <c r="B28" s="47" t="s">
        <v>1152</v>
      </c>
      <c r="C28" s="1038" t="s">
        <v>1153</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1152</v>
      </c>
      <c r="C29" s="1674" t="s">
        <v>1154</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1151</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1155</v>
      </c>
      <c r="D31" s="676">
        <f>D27+D30</f>
        <v>0</v>
      </c>
      <c r="E31" s="676">
        <f>E27+E30</f>
        <v>139.07999999999998</v>
      </c>
      <c r="F31" s="677">
        <f>F27+F30</f>
        <v>139.07999999999998</v>
      </c>
      <c r="G31" s="678">
        <f>G27+G30</f>
        <v>0</v>
      </c>
      <c r="H31" s="2658"/>
      <c r="I31" s="2658"/>
      <c r="J31" s="2658"/>
      <c r="K31" s="2658"/>
      <c r="L31" s="2658"/>
      <c r="M31" s="2658"/>
      <c r="N31" s="2658"/>
      <c r="O31" s="2658"/>
      <c r="P31" s="2658"/>
    </row>
    <row r="32" spans="1:19">
      <c r="A32" s="1643"/>
      <c r="B32" s="1643" t="s">
        <v>1156</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4" priority="1" stopIfTrue="1" operator="containsText" text="面积有误">
      <formula>NOT(ISERROR(SEARCH("面积有误",E27)))</formula>
    </cfRule>
    <cfRule type="cellIs" dxfId="253" priority="3" stopIfTrue="1" operator="equal">
      <formula>"地下面积有误"</formula>
    </cfRule>
  </conditionalFormatting>
  <conditionalFormatting sqref="F27">
    <cfRule type="cellIs" dxfId="25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AC33" sqref="AC3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1157</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1158</v>
      </c>
      <c r="B2" s="1045">
        <f>项目基本情况!D3</f>
        <v>45405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1159</v>
      </c>
      <c r="B4" s="1688"/>
      <c r="C4" s="1689"/>
      <c r="D4" s="1690"/>
      <c r="E4" s="1689" t="s">
        <v>1160</v>
      </c>
      <c r="F4" s="1689"/>
      <c r="G4" s="1689"/>
      <c r="H4" s="1689"/>
      <c r="I4" s="1689"/>
      <c r="J4" s="1691"/>
      <c r="K4" s="1692"/>
      <c r="L4" s="1693"/>
      <c r="M4" s="1689"/>
      <c r="N4" s="1689" t="s">
        <v>1161</v>
      </c>
      <c r="O4" s="1689"/>
      <c r="P4" s="1689"/>
      <c r="Q4" s="1689"/>
      <c r="R4" s="1689"/>
      <c r="S4" s="1691"/>
      <c r="T4" s="2657" t="str">
        <f>'数据-汇总表'!I17</f>
        <v>按面积比例</v>
      </c>
      <c r="U4" s="1688" t="s">
        <v>1162</v>
      </c>
      <c r="V4" s="1689"/>
      <c r="W4" s="1689"/>
      <c r="X4" s="1689"/>
      <c r="Y4" s="1691"/>
      <c r="Z4" s="1652" t="s">
        <v>1163</v>
      </c>
      <c r="AA4" s="1652"/>
      <c r="AB4" s="1652"/>
      <c r="AC4" s="1652"/>
      <c r="AD4" s="1652"/>
      <c r="AE4" s="1650" t="s">
        <v>1164</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1165</v>
      </c>
      <c r="B5" s="1696" t="s">
        <v>1166</v>
      </c>
      <c r="C5" s="1697" t="s">
        <v>1167</v>
      </c>
      <c r="D5" s="1698" t="s">
        <v>1168</v>
      </c>
      <c r="E5" s="1047" t="s">
        <v>1169</v>
      </c>
      <c r="F5" s="1699" t="s">
        <v>1170</v>
      </c>
      <c r="G5" s="1047" t="s">
        <v>1171</v>
      </c>
      <c r="H5" s="1047" t="s">
        <v>1172</v>
      </c>
      <c r="I5" s="1047" t="s">
        <v>1173</v>
      </c>
      <c r="J5" s="1700" t="s">
        <v>1174</v>
      </c>
      <c r="K5" s="1701" t="s">
        <v>1175</v>
      </c>
      <c r="L5" s="1702" t="s">
        <v>1176</v>
      </c>
      <c r="M5" s="1703" t="s">
        <v>1177</v>
      </c>
      <c r="N5" s="1704" t="s">
        <v>3391</v>
      </c>
      <c r="O5" s="1702" t="s">
        <v>1178</v>
      </c>
      <c r="P5" s="1705" t="s">
        <v>1179</v>
      </c>
      <c r="Q5" s="61" t="s">
        <v>1180</v>
      </c>
      <c r="R5" s="1706" t="s">
        <v>1181</v>
      </c>
      <c r="S5" s="1707" t="s">
        <v>1182</v>
      </c>
      <c r="T5" s="1708" t="s">
        <v>1183</v>
      </c>
      <c r="U5" s="1046" t="s">
        <v>1184</v>
      </c>
      <c r="V5" s="1047" t="s">
        <v>1185</v>
      </c>
      <c r="W5" s="1047" t="s">
        <v>1186</v>
      </c>
      <c r="X5" s="63"/>
      <c r="Y5" s="62" t="s">
        <v>1187</v>
      </c>
      <c r="Z5" s="1709" t="s">
        <v>1184</v>
      </c>
      <c r="AA5" s="1047" t="s">
        <v>1185</v>
      </c>
      <c r="AB5" s="1047" t="s">
        <v>1186</v>
      </c>
      <c r="AC5" s="63"/>
      <c r="AD5" s="63" t="s">
        <v>1187</v>
      </c>
      <c r="AE5" s="1046" t="s">
        <v>1188</v>
      </c>
      <c r="AF5" s="1047" t="s">
        <v>1189</v>
      </c>
      <c r="AG5" s="62" t="s">
        <v>1190</v>
      </c>
      <c r="AH5" s="1046" t="s">
        <v>1191</v>
      </c>
      <c r="AI5" s="1709" t="s">
        <v>1192</v>
      </c>
      <c r="AJ5" s="1709" t="s">
        <v>1193</v>
      </c>
      <c r="AK5" s="1047" t="s">
        <v>1194</v>
      </c>
      <c r="AL5" s="1047" t="s">
        <v>1195</v>
      </c>
      <c r="AM5" s="62" t="s">
        <v>1196</v>
      </c>
      <c r="AN5" s="1710" t="s">
        <v>1197</v>
      </c>
      <c r="AO5" s="1562" t="s">
        <v>1198</v>
      </c>
      <c r="AP5" s="1028" t="s">
        <v>1199</v>
      </c>
      <c r="AQ5" s="1711" t="s">
        <v>1200</v>
      </c>
      <c r="AR5" s="1711" t="s">
        <v>1201</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413</v>
      </c>
      <c r="B6" s="1713" t="str">
        <f>IF(A6=0,"","经营性")</f>
        <v>经营性</v>
      </c>
      <c r="C6" s="1714" t="s">
        <v>21</v>
      </c>
      <c r="D6" s="858">
        <f>SUMIF(项目基本情况!C$12:I$12,C6,项目基本情况!C$14:I$14)</f>
        <v>50</v>
      </c>
      <c r="E6" s="857">
        <f>IF(B6="","",SUMIF(项目基本情况!C$12:I$12,C6,项目基本情况!C$13:I$13))</f>
        <v>58809</v>
      </c>
      <c r="F6" s="64">
        <f>SUMIF(项目基本情况!C$12:I$12,C6,项目基本情况!C$15:I$15)</f>
        <v>36.72</v>
      </c>
      <c r="G6" s="65">
        <f>IF(ISERROR(ROUND(POWER(1+H6,D6-F6)*(POWER(1+H6,F6)-1)/(POWER(1+H6,D6)-1),3)),0,ROUND(POWER(1+H6,D6-F6)*(POWER(1+H6,F6)-1)/(POWER(1+H6,D6)-1),3))</f>
        <v>0.91300000000000003</v>
      </c>
      <c r="H6" s="732">
        <v>0.05</v>
      </c>
      <c r="I6" s="732">
        <v>5.5E-2</v>
      </c>
      <c r="J6" s="66">
        <v>7.0000000000000007E-2</v>
      </c>
      <c r="K6" s="1030">
        <f>SUMIF('数据-汇总表'!C$19:C$33,A6,'数据-汇总表'!E$19:E$33)</f>
        <v>58.44</v>
      </c>
      <c r="L6" s="733">
        <v>4000</v>
      </c>
      <c r="M6" s="67">
        <f t="shared" ref="M6:M14" si="0">ROUND(K6*L6/10000,0)</f>
        <v>23</v>
      </c>
      <c r="N6" s="731">
        <f>K21</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f>'比较法-办公 租金'!C49</f>
        <v>4.9000000000000004</v>
      </c>
      <c r="V6" s="70">
        <v>2.5000000000000001E-2</v>
      </c>
      <c r="W6" s="70">
        <v>0.1</v>
      </c>
      <c r="X6" s="1040"/>
      <c r="Y6" s="71">
        <f>K21</f>
        <v>0.82</v>
      </c>
      <c r="Z6" s="72"/>
      <c r="AA6" s="66"/>
      <c r="AB6" s="66"/>
      <c r="AC6" s="1040"/>
      <c r="AD6" s="73"/>
      <c r="AE6" s="1041">
        <f ca="1">IF(AN6="",0,SUMIF(INDIRECT("'"&amp;AN6&amp;"'"&amp;"!E:E"),$AE$5,INDIRECT("'"&amp;AN6&amp;"'"&amp;"!F:F")))</f>
        <v>36.72</v>
      </c>
      <c r="AF6" s="1348"/>
      <c r="AG6" s="138">
        <f>IF(AF6="",0,AE6-AF6)</f>
        <v>0</v>
      </c>
      <c r="AH6" s="74"/>
      <c r="AI6" s="76">
        <v>365</v>
      </c>
      <c r="AJ6" s="77"/>
      <c r="AK6" s="78">
        <v>0.01</v>
      </c>
      <c r="AL6" s="79">
        <v>1E-3</v>
      </c>
      <c r="AM6" s="80">
        <v>0.01</v>
      </c>
      <c r="AN6" s="1715" t="s">
        <v>3463</v>
      </c>
      <c r="AO6" s="52">
        <f ca="1">SUMIF(INDIRECT("'"&amp;AN6&amp;"'"&amp;"!A:A"),"总价",INDIRECT("'"&amp;AN6&amp;"'"&amp;"!B:B"))</f>
        <v>161.73249999999999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414</v>
      </c>
      <c r="B7" s="1713" t="str">
        <f t="shared" ref="B7:B13" si="1">IF(A7=0,"","经营性")</f>
        <v>经营性</v>
      </c>
      <c r="C7" s="1714" t="s">
        <v>21</v>
      </c>
      <c r="D7" s="858">
        <f>SUMIF(项目基本情况!C$12:I$12,C7,项目基本情况!C$14:I$14)</f>
        <v>50</v>
      </c>
      <c r="E7" s="857">
        <f>IF(B7="","",SUMIF(项目基本情况!C$12:I$12,C7,项目基本情况!C$13:I$13))</f>
        <v>58809</v>
      </c>
      <c r="F7" s="64">
        <f>SUMIF(项目基本情况!C$12:I$12,C7,项目基本情况!C$15:I$15)</f>
        <v>36.72</v>
      </c>
      <c r="G7" s="65">
        <f t="shared" ref="G7:G11" si="2">IF(ISERROR(ROUND(POWER(1+H7,D7-F7)*(POWER(1+H7,F7)-1)/(POWER(1+H7,D7)-1),3)),0,ROUND(POWER(1+H7,D7-F7)*(POWER(1+H7,F7)-1)/(POWER(1+H7,D7)-1),3))</f>
        <v>0.91300000000000003</v>
      </c>
      <c r="H7" s="732">
        <f>H6</f>
        <v>0.05</v>
      </c>
      <c r="I7" s="732">
        <f>I6</f>
        <v>5.5E-2</v>
      </c>
      <c r="J7" s="66">
        <f>J6</f>
        <v>7.0000000000000007E-2</v>
      </c>
      <c r="K7" s="1030">
        <f>SUMIF('数据-汇总表'!C$19:C$33,A7,'数据-汇总表'!E$19:E$33)</f>
        <v>80.64</v>
      </c>
      <c r="L7" s="733">
        <f>L6</f>
        <v>4000</v>
      </c>
      <c r="M7" s="67">
        <f t="shared" si="0"/>
        <v>32</v>
      </c>
      <c r="N7" s="731">
        <f>N6</f>
        <v>0.82</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f>U6</f>
        <v>4.9000000000000004</v>
      </c>
      <c r="V7" s="70">
        <f>V6</f>
        <v>2.5000000000000001E-2</v>
      </c>
      <c r="W7" s="70">
        <f>W6</f>
        <v>0.1</v>
      </c>
      <c r="X7" s="1040"/>
      <c r="Y7" s="71">
        <f>Y6</f>
        <v>0.82</v>
      </c>
      <c r="Z7" s="72"/>
      <c r="AA7" s="66"/>
      <c r="AB7" s="66"/>
      <c r="AC7" s="1040"/>
      <c r="AD7" s="73"/>
      <c r="AE7" s="1041">
        <f t="shared" ref="AE7:AE13" ca="1" si="6">IF(AN7="",0,SUMIF(INDIRECT("'"&amp;AN7&amp;"'"&amp;"!E:E"),$AE$5,INDIRECT("'"&amp;AN7&amp;"'"&amp;"!F:F")))</f>
        <v>36.72</v>
      </c>
      <c r="AF7" s="1348"/>
      <c r="AG7" s="138">
        <f t="shared" ref="AG7:AG13" si="7">IF(AF7="",0,AE7-AF7)</f>
        <v>0</v>
      </c>
      <c r="AH7" s="74"/>
      <c r="AI7" s="76">
        <v>365</v>
      </c>
      <c r="AJ7" s="77"/>
      <c r="AK7" s="78">
        <f>AK6</f>
        <v>0.01</v>
      </c>
      <c r="AL7" s="79">
        <f>AL6</f>
        <v>1E-3</v>
      </c>
      <c r="AM7" s="80">
        <f>AM6</f>
        <v>0.01</v>
      </c>
      <c r="AN7" s="1715" t="s">
        <v>3465</v>
      </c>
      <c r="AO7" s="52">
        <f t="shared" ref="AO7:AO13" ca="1" si="8">SUMIF(INDIRECT("'"&amp;AN7&amp;"'"&amp;"!A:A"),"总价",INDIRECT("'"&amp;AN7&amp;"'"&amp;"!B:B"))</f>
        <v>223.16909999999999</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1202</v>
      </c>
      <c r="B14" s="1713" t="s">
        <v>1203</v>
      </c>
      <c r="C14" s="1718" t="s">
        <v>1202</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1204</v>
      </c>
      <c r="B15" s="1713" t="s">
        <v>1203</v>
      </c>
      <c r="C15" s="1718" t="s">
        <v>1205</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1206</v>
      </c>
      <c r="B16" s="88"/>
      <c r="C16" s="833"/>
      <c r="D16" s="1720"/>
      <c r="E16" s="88"/>
      <c r="F16" s="88"/>
      <c r="G16" s="89">
        <f>ROUND(SUMPRODUCT(G6:G13,K6:K13)/SUMPRODUCT((G6:G13&gt;0)*(K6:K13)),3)</f>
        <v>0.91300000000000003</v>
      </c>
      <c r="H16" s="90">
        <f>ROUND(SUMPRODUCT(H6:H13,K6:K13)/SUMPRODUCT((H6:H13&gt;0)*(K6:K13)),3)</f>
        <v>0.05</v>
      </c>
      <c r="I16" s="91"/>
      <c r="J16" s="91"/>
      <c r="K16" s="92">
        <f>SUM(K6:K15)</f>
        <v>139.07999999999998</v>
      </c>
      <c r="L16" s="93">
        <f>ROUND(M16*10000/SUM(K6:K14),0)</f>
        <v>3955</v>
      </c>
      <c r="M16" s="93">
        <f>SUM(M6:M14)</f>
        <v>55</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1207</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1208</v>
      </c>
      <c r="B19" s="103">
        <v>0</v>
      </c>
      <c r="C19" s="2798" t="s">
        <v>2301</v>
      </c>
      <c r="D19" s="2675"/>
      <c r="E19" s="2672"/>
      <c r="F19" s="2672"/>
      <c r="G19" s="2672"/>
      <c r="H19" s="2672"/>
      <c r="I19" s="2672"/>
      <c r="J19" s="2672"/>
      <c r="K19" s="3458" t="s">
        <v>3392</v>
      </c>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1209</v>
      </c>
      <c r="B20" s="104">
        <v>2</v>
      </c>
      <c r="C20" s="2799" t="s">
        <v>2299</v>
      </c>
      <c r="D20" s="2675"/>
      <c r="E20" s="2672"/>
      <c r="F20" s="2672"/>
      <c r="G20" s="2672"/>
      <c r="H20" s="2672"/>
      <c r="I20" s="2672"/>
      <c r="J20" s="3459" t="s">
        <v>3393</v>
      </c>
      <c r="K20" s="2671">
        <v>2013</v>
      </c>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1210</v>
      </c>
      <c r="B21" s="104">
        <v>2</v>
      </c>
      <c r="C21" s="2672"/>
      <c r="D21" s="2675"/>
      <c r="E21" s="2672"/>
      <c r="F21" s="2672"/>
      <c r="G21" s="2672"/>
      <c r="H21" s="2672"/>
      <c r="I21" s="2672"/>
      <c r="J21" s="3459" t="s">
        <v>3394</v>
      </c>
      <c r="K21" s="3460">
        <f>ROUND(1-(1-0)*(2024-K20)/60,2)</f>
        <v>0.82</v>
      </c>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1211</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1212</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1213</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1214</v>
      </c>
      <c r="B26" s="1726" t="s">
        <v>1215</v>
      </c>
      <c r="C26" s="2676" t="s">
        <v>1216</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1217</v>
      </c>
      <c r="B27" s="107"/>
      <c r="C27" s="2800"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1218</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1219</v>
      </c>
      <c r="B29" s="112"/>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1220</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1221</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1222</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1223</v>
      </c>
      <c r="B33" s="673">
        <v>0.03</v>
      </c>
      <c r="C33" s="2802" t="s">
        <v>2291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1224</v>
      </c>
      <c r="B34" s="113"/>
      <c r="C34" s="2802" t="s">
        <v>2292</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1225</v>
      </c>
      <c r="B35" s="110">
        <v>200</v>
      </c>
      <c r="C35" s="2802" t="s">
        <v>2293</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1226</v>
      </c>
      <c r="B36" s="114">
        <v>0.02</v>
      </c>
      <c r="C36" s="2802" t="s">
        <v>2294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1227</v>
      </c>
      <c r="B37" s="115">
        <v>0.02</v>
      </c>
      <c r="C37" s="2802" t="s">
        <v>2295</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1228</v>
      </c>
      <c r="B38" s="113">
        <v>0.02</v>
      </c>
      <c r="C38" s="2802" t="s">
        <v>2295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1229</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1230</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1231</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1232</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1233</v>
      </c>
      <c r="B44" s="119">
        <v>7.0000000000000007E-2</v>
      </c>
      <c r="C44" s="2802" t="s">
        <v>2304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1234</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1235</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1236</v>
      </c>
      <c r="B47" s="120">
        <v>0</v>
      </c>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1237</v>
      </c>
      <c r="B48" s="121">
        <v>0.03</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1238</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1239</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1240</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1241</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1242</v>
      </c>
      <c r="B53" s="1738"/>
      <c r="C53" s="2660" t="s">
        <v>1243</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1244</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1245</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1246</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1247</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1248</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1249</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1250</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1251</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1252</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1253</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86" t="s">
        <v>2282</v>
      </c>
      <c r="B1" s="3587"/>
      <c r="C1" s="3587"/>
      <c r="D1" s="3587"/>
      <c r="E1" s="3587"/>
      <c r="F1" s="3587"/>
      <c r="G1" s="358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2277</v>
      </c>
      <c r="D2" s="2460"/>
      <c r="E2" s="2457"/>
      <c r="F2" s="2461"/>
      <c r="G2" s="2459" t="s">
        <v>2278</v>
      </c>
      <c r="H2" s="799"/>
      <c r="I2" s="799"/>
      <c r="J2" s="799"/>
      <c r="K2" s="799"/>
      <c r="L2" s="799"/>
      <c r="M2" s="799"/>
      <c r="N2" s="799"/>
      <c r="O2" s="799"/>
      <c r="P2" s="799"/>
      <c r="Q2" s="799"/>
      <c r="R2" s="799"/>
    </row>
    <row r="3" spans="1:29" ht="48">
      <c r="A3" s="2440" t="s">
        <v>2279</v>
      </c>
      <c r="B3" s="2462" t="s">
        <v>2248</v>
      </c>
      <c r="C3" s="2463" t="s">
        <v>2280</v>
      </c>
      <c r="D3" s="2464"/>
      <c r="E3" s="2441" t="s">
        <v>2279</v>
      </c>
      <c r="F3" s="2465" t="s">
        <v>2249</v>
      </c>
      <c r="G3" s="2466" t="s">
        <v>2281</v>
      </c>
      <c r="H3" s="799"/>
      <c r="I3" s="799"/>
      <c r="J3" s="799"/>
      <c r="K3" s="799"/>
      <c r="L3" s="799"/>
      <c r="M3" s="799"/>
      <c r="N3" s="799"/>
      <c r="O3" s="799"/>
      <c r="P3" s="799"/>
      <c r="Q3" s="799"/>
      <c r="R3" s="799"/>
    </row>
    <row r="4" spans="1:29" ht="36.75">
      <c r="A4" s="2441"/>
      <c r="B4" s="323" t="s">
        <v>2250</v>
      </c>
      <c r="C4" s="2467" t="s">
        <v>2251</v>
      </c>
      <c r="D4" s="2464"/>
      <c r="E4" s="2468"/>
      <c r="F4" s="1373" t="s">
        <v>2252</v>
      </c>
      <c r="G4" s="2469" t="s">
        <v>2253</v>
      </c>
      <c r="H4" s="799"/>
      <c r="I4" s="799"/>
      <c r="J4" s="799"/>
      <c r="K4" s="799"/>
      <c r="L4" s="799"/>
      <c r="M4" s="799"/>
      <c r="N4" s="799"/>
      <c r="O4" s="799"/>
      <c r="P4" s="799"/>
      <c r="Q4" s="799"/>
      <c r="R4" s="799"/>
    </row>
    <row r="5" spans="1:29" ht="36.75">
      <c r="A5" s="2441"/>
      <c r="B5" s="323" t="s">
        <v>2254</v>
      </c>
      <c r="C5" s="2467" t="s">
        <v>2255</v>
      </c>
      <c r="D5" s="2464"/>
      <c r="E5" s="2468"/>
      <c r="F5" s="323" t="s">
        <v>2256</v>
      </c>
      <c r="G5" s="2469" t="s">
        <v>2257</v>
      </c>
      <c r="H5" s="799"/>
      <c r="I5" s="799"/>
      <c r="J5" s="799"/>
      <c r="K5" s="799"/>
      <c r="L5" s="799"/>
      <c r="M5" s="799"/>
      <c r="N5" s="799"/>
      <c r="O5" s="799"/>
      <c r="P5" s="799"/>
      <c r="Q5" s="799"/>
      <c r="R5" s="799"/>
    </row>
    <row r="6" spans="1:29" ht="36">
      <c r="A6" s="2441"/>
      <c r="B6" s="323" t="s">
        <v>2258</v>
      </c>
      <c r="C6" s="2469" t="s">
        <v>2253</v>
      </c>
      <c r="D6" s="2464"/>
      <c r="E6" s="2468"/>
      <c r="F6" s="323" t="s">
        <v>2259</v>
      </c>
      <c r="G6" s="2469" t="s">
        <v>2260</v>
      </c>
      <c r="H6" s="799"/>
      <c r="I6" s="799"/>
      <c r="J6" s="799"/>
      <c r="K6" s="799"/>
      <c r="L6" s="799"/>
      <c r="M6" s="799"/>
      <c r="N6" s="799"/>
      <c r="O6" s="799"/>
      <c r="P6" s="799"/>
      <c r="Q6" s="799"/>
      <c r="R6" s="799"/>
    </row>
    <row r="7" spans="1:29" ht="24.75" thickBot="1">
      <c r="A7" s="2441"/>
      <c r="B7" s="323" t="s">
        <v>2256</v>
      </c>
      <c r="C7" s="2469" t="s">
        <v>2257</v>
      </c>
      <c r="D7" s="2470"/>
      <c r="E7" s="2471"/>
      <c r="F7" s="2472" t="s">
        <v>2261</v>
      </c>
      <c r="G7" s="2473" t="s">
        <v>2262</v>
      </c>
      <c r="H7" s="799"/>
      <c r="I7" s="799"/>
      <c r="J7" s="799"/>
      <c r="K7" s="799"/>
      <c r="L7" s="799"/>
      <c r="M7" s="799"/>
      <c r="N7" s="799"/>
      <c r="O7" s="799"/>
      <c r="P7" s="799"/>
      <c r="Q7" s="799"/>
      <c r="R7" s="799"/>
    </row>
    <row r="8" spans="1:29">
      <c r="A8" s="2441"/>
      <c r="B8" s="323" t="s">
        <v>2259</v>
      </c>
      <c r="C8" s="2469" t="s">
        <v>2260</v>
      </c>
      <c r="D8" s="2470"/>
      <c r="E8" s="2470"/>
      <c r="F8" s="2474"/>
      <c r="G8" s="2474"/>
      <c r="H8" s="799"/>
      <c r="I8" s="799"/>
      <c r="J8" s="799"/>
      <c r="K8" s="799"/>
      <c r="L8" s="799"/>
      <c r="M8" s="799"/>
      <c r="N8" s="799"/>
      <c r="O8" s="799"/>
      <c r="P8" s="799"/>
      <c r="Q8" s="799"/>
      <c r="R8" s="799"/>
    </row>
    <row r="9" spans="1:29" ht="24">
      <c r="A9" s="2441"/>
      <c r="B9" s="323" t="s">
        <v>2263</v>
      </c>
      <c r="C9" s="2467" t="s">
        <v>2264</v>
      </c>
      <c r="D9" s="2464"/>
      <c r="E9" s="2470"/>
      <c r="F9" s="2474"/>
      <c r="G9" s="2474"/>
      <c r="H9" s="799"/>
      <c r="I9" s="799"/>
      <c r="J9" s="799"/>
      <c r="K9" s="799"/>
      <c r="L9" s="799"/>
      <c r="M9" s="799"/>
      <c r="N9" s="799"/>
      <c r="O9" s="799"/>
      <c r="P9" s="799"/>
      <c r="Q9" s="799"/>
      <c r="R9" s="799"/>
    </row>
    <row r="10" spans="1:29" s="2480" customFormat="1" ht="15" thickBot="1">
      <c r="A10" s="2442"/>
      <c r="B10" s="2475" t="s">
        <v>2265</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2283</v>
      </c>
      <c r="B13" s="2483"/>
      <c r="C13" s="2483"/>
      <c r="D13" s="2481"/>
      <c r="E13" s="2483"/>
      <c r="F13" s="2483"/>
      <c r="G13" s="2483"/>
    </row>
    <row r="14" spans="1:29" ht="15" thickBot="1">
      <c r="A14" s="2493"/>
      <c r="B14" s="2493"/>
      <c r="C14" s="2494" t="s">
        <v>2266</v>
      </c>
      <c r="D14" s="2464"/>
      <c r="E14" s="2495"/>
      <c r="F14" s="2495"/>
      <c r="G14" s="2459" t="s">
        <v>2267</v>
      </c>
    </row>
    <row r="15" spans="1:29" ht="51">
      <c r="A15" s="2443" t="s">
        <v>2268</v>
      </c>
      <c r="B15" s="2496" t="s">
        <v>2248</v>
      </c>
      <c r="C15" s="2497" t="str">
        <f>C3</f>
        <v>估价对象周边居住用地比例、居住小区规模和社区发展完善程度，综合评价居住社区成熟度一般</v>
      </c>
      <c r="D15" s="2464"/>
      <c r="E15" s="2444" t="s">
        <v>2269</v>
      </c>
      <c r="F15" s="2496" t="s">
        <v>2270</v>
      </c>
      <c r="G15" s="2498" t="str">
        <f>G3</f>
        <v>估价对象位于XX开发区，园区建设成熟度XX，产业集聚程度XX</v>
      </c>
    </row>
    <row r="16" spans="1:29" ht="38.25">
      <c r="A16" s="2445"/>
      <c r="B16" s="2499" t="s">
        <v>2250</v>
      </c>
      <c r="C16" s="2500" t="str">
        <f>C4</f>
        <v>估价对象位于XX商圈，周边商业氛围成熟，人流量大，商业繁华度好</v>
      </c>
      <c r="D16" s="2464"/>
      <c r="E16" s="2446"/>
      <c r="F16" s="2501" t="s">
        <v>2252</v>
      </c>
      <c r="G16" s="2502" t="str">
        <f>G4</f>
        <v>估价对象周边道路状况、公共交通通达情况、停车便捷程度，综合评价交通便捷度较好</v>
      </c>
    </row>
    <row r="17" spans="1:18" ht="38.25">
      <c r="A17" s="2445"/>
      <c r="B17" s="2499" t="s">
        <v>2254</v>
      </c>
      <c r="C17" s="2500" t="str">
        <f>C5</f>
        <v>估价对象位于XX商圈，周边办公楼项目较多，入驻率高，办公集聚程度较好</v>
      </c>
      <c r="D17" s="2470"/>
      <c r="E17" s="2446"/>
      <c r="F17" s="2501" t="s">
        <v>2271</v>
      </c>
      <c r="G17" s="2503"/>
    </row>
    <row r="18" spans="1:18" ht="38.25">
      <c r="A18" s="2445"/>
      <c r="B18" s="2501" t="s">
        <v>2258</v>
      </c>
      <c r="C18" s="2502" t="str">
        <f>C6</f>
        <v>估价对象周边道路状况、公共交通通达情况、停车便捷程度，综合评价交通便捷度较好</v>
      </c>
      <c r="D18" s="2470"/>
      <c r="E18" s="2446"/>
      <c r="F18" s="2501" t="s">
        <v>2261</v>
      </c>
      <c r="G18" s="2502" t="str">
        <f>G7</f>
        <v>该园区内是否有污染型企业，绿化情况，卫生条件，整体环境状况判断</v>
      </c>
    </row>
    <row r="19" spans="1:18" ht="25.5">
      <c r="A19" s="2445"/>
      <c r="B19" s="2501" t="s">
        <v>2272</v>
      </c>
      <c r="C19" s="2503"/>
      <c r="D19" s="2464"/>
      <c r="E19" s="2446"/>
      <c r="F19" s="323" t="s">
        <v>2256</v>
      </c>
      <c r="G19" s="2502" t="str">
        <f>G5</f>
        <v>估价对象所在区域公共配套设施齐备情况</v>
      </c>
    </row>
    <row r="20" spans="1:18" ht="25.5">
      <c r="A20" s="2445"/>
      <c r="B20" s="2501" t="s">
        <v>2273</v>
      </c>
      <c r="C20" s="2500" t="str">
        <f>C9</f>
        <v>区域自然环境：；人文环境；综合评价环境状况一般</v>
      </c>
      <c r="D20" s="2470"/>
      <c r="E20" s="2446"/>
      <c r="F20" s="323" t="s">
        <v>2259</v>
      </c>
      <c r="G20" s="2502" t="str">
        <f>G6</f>
        <v>估价对象所在区域基础设施水平</v>
      </c>
    </row>
    <row r="21" spans="1:18" ht="25.5">
      <c r="A21" s="2445"/>
      <c r="B21" s="323" t="s">
        <v>2256</v>
      </c>
      <c r="C21" s="2502" t="str">
        <f>C7</f>
        <v>估价对象所在区域公共配套设施齐备情况</v>
      </c>
      <c r="D21" s="2464"/>
      <c r="E21" s="2446"/>
      <c r="F21" s="2501" t="s">
        <v>2274</v>
      </c>
      <c r="G21" s="2504"/>
    </row>
    <row r="22" spans="1:18" ht="13.5" customHeight="1">
      <c r="A22" s="2445"/>
      <c r="B22" s="323" t="s">
        <v>2259</v>
      </c>
      <c r="C22" s="2502" t="str">
        <f>C8</f>
        <v>估价对象所在区域基础设施水平</v>
      </c>
      <c r="D22" s="2464"/>
      <c r="E22" s="2446"/>
      <c r="F22" s="2501" t="s">
        <v>2265</v>
      </c>
      <c r="G22" s="2503"/>
    </row>
    <row r="23" spans="1:18" s="799" customFormat="1" ht="15" thickBot="1">
      <c r="A23" s="2445"/>
      <c r="B23" s="2501" t="s">
        <v>2274</v>
      </c>
      <c r="C23" s="2504"/>
      <c r="D23" s="1741"/>
      <c r="E23" s="2447"/>
      <c r="F23" s="2505" t="s">
        <v>2275</v>
      </c>
      <c r="G23" s="2506"/>
      <c r="H23" s="2490"/>
      <c r="I23" s="2491"/>
      <c r="J23" s="2490"/>
      <c r="K23" s="2490"/>
      <c r="L23" s="2491"/>
      <c r="M23" s="2490"/>
      <c r="N23" s="2490"/>
      <c r="O23" s="2491"/>
      <c r="P23" s="2490"/>
      <c r="Q23" s="2490"/>
      <c r="R23" s="2492"/>
    </row>
    <row r="24" spans="1:18" s="799" customFormat="1" ht="15" thickBot="1">
      <c r="A24" s="2448"/>
      <c r="B24" s="2505" t="s">
        <v>2276</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Q15" sqref="Q15"/>
    </sheetView>
  </sheetViews>
  <sheetFormatPr defaultColWidth="9" defaultRowHeight="13.5"/>
  <cols>
    <col min="1" max="1" width="25" style="2512" customWidth="1"/>
    <col min="2" max="9" width="15.75" style="2512" customWidth="1"/>
    <col min="10" max="16384" width="9" style="2512"/>
  </cols>
  <sheetData>
    <row r="1" spans="1:11" ht="16.5">
      <c r="A1" s="2511" t="s">
        <v>663</v>
      </c>
      <c r="B1" s="2511">
        <f>SUM(B14:B23)</f>
        <v>58.44</v>
      </c>
      <c r="C1" s="2685"/>
      <c r="D1" s="2685"/>
      <c r="E1" s="2685"/>
      <c r="F1" s="2685"/>
      <c r="G1" s="2686"/>
      <c r="H1" s="2687"/>
      <c r="I1" s="2687"/>
      <c r="J1" s="2687"/>
      <c r="K1" s="2687"/>
    </row>
    <row r="2" spans="1:11" ht="16.5">
      <c r="A2" s="2511" t="s">
        <v>651</v>
      </c>
      <c r="B2" s="2511">
        <f>SUM(C14:C23)</f>
        <v>0</v>
      </c>
      <c r="C2" s="2685"/>
      <c r="D2" s="2685"/>
      <c r="E2" s="2685"/>
      <c r="F2" s="2685"/>
      <c r="G2" s="2686"/>
      <c r="H2" s="2687"/>
      <c r="I2" s="2687"/>
      <c r="J2" s="2687"/>
      <c r="K2" s="2687"/>
    </row>
    <row r="3" spans="1:11" ht="16.5">
      <c r="A3" s="2511" t="s">
        <v>660</v>
      </c>
      <c r="B3" s="2513">
        <f>项目基本情况!D3</f>
        <v>45405</v>
      </c>
      <c r="C3" s="2685"/>
      <c r="D3" s="2685"/>
      <c r="E3" s="2685"/>
      <c r="F3" s="2685"/>
      <c r="G3" s="2686"/>
      <c r="H3" s="2687"/>
      <c r="I3" s="2687"/>
      <c r="J3" s="2687"/>
      <c r="K3" s="2687"/>
    </row>
    <row r="4" spans="1:11" ht="33">
      <c r="A4" s="2511" t="s">
        <v>659</v>
      </c>
      <c r="B4" s="2511" t="s">
        <v>658</v>
      </c>
      <c r="C4" s="2511" t="s">
        <v>657</v>
      </c>
      <c r="D4" s="2511" t="s">
        <v>656</v>
      </c>
      <c r="E4" s="2685"/>
      <c r="F4" s="2686"/>
      <c r="G4" s="2686"/>
      <c r="H4" s="2687"/>
      <c r="I4" s="2687"/>
      <c r="J4" s="2687"/>
      <c r="K4" s="2687"/>
    </row>
    <row r="5" spans="1:11" ht="16.5">
      <c r="A5" s="2511" t="s">
        <v>655</v>
      </c>
      <c r="B5" s="2511">
        <f ca="1">SUM(D14:D23)</f>
        <v>210</v>
      </c>
      <c r="C5" s="2511">
        <f ca="1">IF(B5=D14,结果表413!H102,ROUND(B5*10000/$B$1,0))</f>
        <v>35889</v>
      </c>
      <c r="D5" s="2511" t="e">
        <f ca="1">ROUND(B5*10000/$B$2,0)</f>
        <v>#DIV/0!</v>
      </c>
      <c r="E5" s="2685"/>
      <c r="F5" s="2686"/>
      <c r="G5" s="2686"/>
      <c r="H5" s="2687"/>
      <c r="I5" s="2687"/>
      <c r="J5" s="2687"/>
      <c r="K5" s="2687"/>
    </row>
    <row r="6" spans="1:11" ht="16.5">
      <c r="A6" s="2511" t="s">
        <v>654</v>
      </c>
      <c r="B6" s="2511">
        <f ca="1">SUM(G14:G23)</f>
        <v>210</v>
      </c>
      <c r="C6" s="2511">
        <f ca="1">IF(B6=G14,结果表413!H108,ROUND(B6*10000/$B$1,0))</f>
        <v>35889</v>
      </c>
      <c r="D6" s="2511" t="e">
        <f ca="1">ROUND(B6*10000/$B$2,0)</f>
        <v>#DIV/0!</v>
      </c>
      <c r="E6" s="2685"/>
      <c r="F6" s="2686"/>
      <c r="G6" s="2686"/>
      <c r="H6" s="2687"/>
      <c r="I6" s="2687"/>
      <c r="J6" s="2687"/>
      <c r="K6" s="2687"/>
    </row>
    <row r="7" spans="1:11" ht="16.5">
      <c r="A7" s="2511" t="s">
        <v>662</v>
      </c>
      <c r="B7" s="2511">
        <f>SUM(H14:H23)</f>
        <v>0</v>
      </c>
      <c r="C7" s="2511" t="str">
        <f>IF(B7=H14,结果表413!H110,ROUND(B7*10000/$B$1,0))</f>
        <v>——</v>
      </c>
      <c r="D7" s="2511" t="e">
        <f>ROUND(B7*10000/$B$2,0)</f>
        <v>#DIV/0!</v>
      </c>
      <c r="E7" s="2685"/>
      <c r="F7" s="2686"/>
      <c r="G7" s="2686"/>
      <c r="H7" s="2687"/>
      <c r="I7" s="2687"/>
      <c r="J7" s="2687"/>
      <c r="K7" s="2687"/>
    </row>
    <row r="8" spans="1:11" ht="16.5">
      <c r="A8" s="2511" t="s">
        <v>586</v>
      </c>
      <c r="B8" s="2511">
        <f ca="1">SUM(I14:I23)</f>
        <v>210</v>
      </c>
      <c r="C8" s="2511">
        <f ca="1">IF(B8=I14,结果表413!H112,ROUND(B8*10000/$B$1,0))</f>
        <v>15099</v>
      </c>
      <c r="D8" s="2511" t="e">
        <f ca="1">ROUND(B8*10000/$B$2,0)</f>
        <v>#DIV/0!</v>
      </c>
      <c r="E8" s="2685"/>
      <c r="F8" s="2686"/>
      <c r="G8" s="2686"/>
      <c r="H8" s="2687"/>
      <c r="I8" s="2687"/>
      <c r="J8" s="2687"/>
      <c r="K8" s="2687"/>
    </row>
    <row r="9" spans="1:11" ht="16.5">
      <c r="A9" s="2511" t="s">
        <v>653</v>
      </c>
      <c r="B9" s="2519"/>
      <c r="C9" s="2685"/>
      <c r="D9" s="2685"/>
      <c r="E9" s="2685"/>
      <c r="F9" s="2686"/>
      <c r="G9" s="2686"/>
      <c r="H9" s="2687"/>
      <c r="I9" s="2687"/>
      <c r="J9" s="2687"/>
      <c r="K9" s="2687"/>
    </row>
    <row r="10" spans="1:11" ht="16.5">
      <c r="A10" s="2511" t="s">
        <v>652</v>
      </c>
      <c r="B10" s="2511">
        <f>IF(E10="",0,ROUND(B1*(E10*365/G10)/10000,0))</f>
        <v>0</v>
      </c>
      <c r="C10" s="2511" t="s">
        <v>3356</v>
      </c>
      <c r="D10" s="2511" t="s">
        <v>3357</v>
      </c>
      <c r="E10" s="3440"/>
      <c r="F10" s="3444" t="s">
        <v>3358</v>
      </c>
      <c r="G10" s="3441"/>
      <c r="H10" s="2687"/>
      <c r="I10" s="2687"/>
      <c r="J10" s="2687"/>
      <c r="K10" s="2687"/>
    </row>
    <row r="11" spans="1:11" ht="16.5">
      <c r="A11" s="2511" t="s">
        <v>668</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667</v>
      </c>
      <c r="B13" s="2515" t="s">
        <v>664</v>
      </c>
      <c r="C13" s="2515" t="s">
        <v>666</v>
      </c>
      <c r="D13" s="2515" t="s">
        <v>665</v>
      </c>
      <c r="E13" s="2511" t="s">
        <v>657</v>
      </c>
      <c r="F13" s="2511" t="s">
        <v>656</v>
      </c>
      <c r="G13" s="2515" t="s">
        <v>650</v>
      </c>
      <c r="H13" s="2515" t="s">
        <v>661</v>
      </c>
      <c r="I13" s="2515" t="s">
        <v>649</v>
      </c>
      <c r="J13" s="2686"/>
      <c r="K13" s="2687"/>
    </row>
    <row r="14" spans="1:11" ht="16.5">
      <c r="A14" s="2516">
        <v>413</v>
      </c>
      <c r="B14" s="2517">
        <f>结果表413!B118</f>
        <v>58.44</v>
      </c>
      <c r="C14" s="2517"/>
      <c r="D14" s="2517">
        <f ca="1">结果表413!H118</f>
        <v>210</v>
      </c>
      <c r="E14" s="2517">
        <f ca="1">结果表413!I118</f>
        <v>35889</v>
      </c>
      <c r="F14" s="2517" t="e">
        <f ca="1">ROUND(D14*10000/C14,0)</f>
        <v>#DIV/0!</v>
      </c>
      <c r="G14" s="2517">
        <f ca="1">结果表413!D122</f>
        <v>210</v>
      </c>
      <c r="H14" s="2517"/>
      <c r="I14" s="2517">
        <f ca="1">结果表413!D126</f>
        <v>210</v>
      </c>
      <c r="J14" s="2686"/>
      <c r="K14" s="2687"/>
    </row>
    <row r="15" spans="1:11" ht="16.5">
      <c r="A15" s="2516" t="s">
        <v>648</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647</v>
      </c>
      <c r="B16" s="2518"/>
      <c r="C16" s="2518"/>
      <c r="D16" s="2518"/>
      <c r="E16" s="2517" t="e">
        <f t="shared" si="0"/>
        <v>#DIV/0!</v>
      </c>
      <c r="F16" s="2517" t="e">
        <f t="shared" si="1"/>
        <v>#DIV/0!</v>
      </c>
      <c r="G16" s="1331"/>
      <c r="H16" s="1331"/>
      <c r="I16" s="2518"/>
      <c r="J16" s="2687"/>
      <c r="K16" s="2687"/>
    </row>
    <row r="17" spans="1:11" ht="16.5">
      <c r="A17" s="2516" t="s">
        <v>646</v>
      </c>
      <c r="B17" s="2518"/>
      <c r="C17" s="2518"/>
      <c r="D17" s="2518"/>
      <c r="E17" s="2517" t="e">
        <f t="shared" si="0"/>
        <v>#DIV/0!</v>
      </c>
      <c r="F17" s="2517" t="e">
        <f t="shared" si="1"/>
        <v>#DIV/0!</v>
      </c>
      <c r="G17" s="1331"/>
      <c r="H17" s="1331"/>
      <c r="I17" s="2518"/>
      <c r="J17" s="2687"/>
      <c r="K17" s="2687"/>
    </row>
    <row r="18" spans="1:11" ht="16.5">
      <c r="A18" s="2516" t="s">
        <v>645</v>
      </c>
      <c r="B18" s="2518"/>
      <c r="C18" s="2518"/>
      <c r="D18" s="2518"/>
      <c r="E18" s="2517" t="e">
        <f t="shared" si="0"/>
        <v>#DIV/0!</v>
      </c>
      <c r="F18" s="2517" t="e">
        <f t="shared" si="1"/>
        <v>#DIV/0!</v>
      </c>
      <c r="G18" s="2518"/>
      <c r="H18" s="2518"/>
      <c r="I18" s="2518"/>
      <c r="J18" s="2687"/>
      <c r="K18" s="2687"/>
    </row>
    <row r="19" spans="1:11" ht="16.5">
      <c r="A19" s="2516" t="s">
        <v>644</v>
      </c>
      <c r="B19" s="2518"/>
      <c r="C19" s="2518"/>
      <c r="D19" s="2518"/>
      <c r="E19" s="2517" t="e">
        <f t="shared" si="0"/>
        <v>#DIV/0!</v>
      </c>
      <c r="F19" s="2517" t="e">
        <f t="shared" si="1"/>
        <v>#DIV/0!</v>
      </c>
      <c r="G19" s="2518"/>
      <c r="H19" s="2518"/>
      <c r="I19" s="2518"/>
      <c r="J19" s="2687"/>
      <c r="K19" s="2687"/>
    </row>
    <row r="20" spans="1:11" ht="16.5">
      <c r="A20" s="2516" t="s">
        <v>643</v>
      </c>
      <c r="B20" s="2518"/>
      <c r="C20" s="2518"/>
      <c r="D20" s="2518"/>
      <c r="E20" s="2517" t="e">
        <f t="shared" si="0"/>
        <v>#DIV/0!</v>
      </c>
      <c r="F20" s="2517" t="e">
        <f t="shared" si="1"/>
        <v>#DIV/0!</v>
      </c>
      <c r="G20" s="2518"/>
      <c r="H20" s="2518"/>
      <c r="I20" s="2518"/>
      <c r="J20" s="2687"/>
      <c r="K20" s="2687"/>
    </row>
    <row r="21" spans="1:11" ht="16.5">
      <c r="A21" s="2516" t="s">
        <v>642</v>
      </c>
      <c r="B21" s="2518"/>
      <c r="C21" s="2518"/>
      <c r="D21" s="2518"/>
      <c r="E21" s="2517" t="e">
        <f t="shared" si="0"/>
        <v>#DIV/0!</v>
      </c>
      <c r="F21" s="2517" t="e">
        <f t="shared" si="1"/>
        <v>#DIV/0!</v>
      </c>
      <c r="G21" s="2518"/>
      <c r="H21" s="2518"/>
      <c r="I21" s="2518"/>
      <c r="J21" s="2687"/>
      <c r="K21" s="2687"/>
    </row>
    <row r="22" spans="1:11" ht="16.5">
      <c r="A22" s="2516" t="s">
        <v>641</v>
      </c>
      <c r="B22" s="2518"/>
      <c r="C22" s="2518"/>
      <c r="D22" s="2518"/>
      <c r="E22" s="2517" t="e">
        <f t="shared" si="0"/>
        <v>#DIV/0!</v>
      </c>
      <c r="F22" s="2517" t="e">
        <f t="shared" si="1"/>
        <v>#DIV/0!</v>
      </c>
      <c r="G22" s="2518"/>
      <c r="H22" s="2518"/>
      <c r="I22" s="2518"/>
      <c r="J22" s="2687"/>
      <c r="K22" s="2687"/>
    </row>
    <row r="23" spans="1:11" ht="16.5">
      <c r="A23" s="2516" t="s">
        <v>640</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70" zoomScaleNormal="100" zoomScaleSheetLayoutView="70" zoomScalePageLayoutView="80" workbookViewId="0">
      <selection activeCell="L90" sqref="L9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v>413</v>
      </c>
      <c r="D1" s="1747"/>
      <c r="E1" s="1747"/>
      <c r="F1" s="1749" t="s">
        <v>1260</v>
      </c>
      <c r="G1" s="1561" t="s">
        <v>3387</v>
      </c>
      <c r="H1" s="1750" t="str">
        <f>IF(G1="现房","——","估价对象范围")</f>
        <v>——</v>
      </c>
      <c r="I1" s="1751"/>
    </row>
    <row r="2" spans="1:12" ht="21.75" customHeight="1" thickBot="1">
      <c r="A2" s="3622" t="str">
        <f>项目基本情况!S2</f>
        <v>北京市丰台区广安路9号院1号楼4层413房地产</v>
      </c>
      <c r="B2" s="3623"/>
      <c r="C2" s="3623"/>
      <c r="D2" s="3623"/>
      <c r="E2" s="3623"/>
      <c r="F2" s="3623"/>
      <c r="G2" s="3623"/>
      <c r="H2" s="3623"/>
      <c r="I2" s="3624"/>
    </row>
    <row r="3" spans="1:12" ht="12.75">
      <c r="A3" s="3626" t="s">
        <v>1261</v>
      </c>
      <c r="B3" s="3627"/>
      <c r="C3" s="3627"/>
      <c r="D3" s="3627"/>
      <c r="E3" s="3627"/>
      <c r="F3" s="3627"/>
      <c r="G3" s="3627"/>
      <c r="H3" s="3627"/>
      <c r="I3" s="3627"/>
    </row>
    <row r="4" spans="1:12" ht="14.25">
      <c r="A4" s="1754" t="s">
        <v>1262</v>
      </c>
      <c r="B4" s="1755" t="s">
        <v>1263</v>
      </c>
      <c r="C4" s="1756" t="s">
        <v>3469</v>
      </c>
      <c r="D4" s="1756" t="s">
        <v>3463</v>
      </c>
      <c r="E4" s="3628" t="s">
        <v>1264</v>
      </c>
      <c r="F4" s="3629"/>
      <c r="G4" s="3629"/>
      <c r="H4" s="3629"/>
      <c r="I4" s="3630"/>
      <c r="K4" s="146" t="str">
        <f>IF(ISNUMBER(FIND("比较法",结果表413!C4)),"比较法",IF(ISNUMBER(FIND("成本法",结果表413!C4)),"成本法",IF(ISNUMBER(FIND("假设开发法",结果表413!C4)),"假设开发法",IF(ISNUMBER(FIND("收益法",结果表413!C4)),"收益法","基准地价系数修正法"))))</f>
        <v>比较法</v>
      </c>
      <c r="L4" s="146" t="str">
        <f>IF(ISNUMBER(FIND("比较法",结果表413!D4)),"比较法",IF(ISNUMBER(FIND("成本法",结果表413!D4)),"成本法",IF(ISNUMBER(FIND("假设开发法",结果表413!D4)),"假设开发法",IF(ISNUMBER(FIND("收益法",结果表413!D4)),"收益法","基准地价系数修正法"))))</f>
        <v>收益法</v>
      </c>
    </row>
    <row r="5" spans="1:12" ht="12.75">
      <c r="A5" s="3602" t="s">
        <v>1265</v>
      </c>
      <c r="B5" s="3589">
        <v>25</v>
      </c>
      <c r="C5" s="3605"/>
      <c r="D5" s="3625"/>
      <c r="E5" s="131" t="s">
        <v>1266</v>
      </c>
      <c r="F5" s="1757"/>
      <c r="G5" s="1757"/>
      <c r="H5" s="1757"/>
      <c r="I5" s="1373"/>
    </row>
    <row r="6" spans="1:12" ht="12.75">
      <c r="A6" s="3602"/>
      <c r="B6" s="3589"/>
      <c r="C6" s="3606"/>
      <c r="D6" s="3625"/>
      <c r="E6" s="131" t="s">
        <v>1267</v>
      </c>
      <c r="F6" s="1757"/>
      <c r="G6" s="1757"/>
      <c r="H6" s="1757"/>
      <c r="I6" s="1373"/>
    </row>
    <row r="7" spans="1:12" ht="12.75">
      <c r="A7" s="3602"/>
      <c r="B7" s="3589"/>
      <c r="C7" s="3607"/>
      <c r="D7" s="3625"/>
      <c r="E7" s="131" t="s">
        <v>1268</v>
      </c>
      <c r="F7" s="1757"/>
      <c r="G7" s="1757"/>
      <c r="H7" s="1757"/>
      <c r="I7" s="1373"/>
    </row>
    <row r="8" spans="1:12" ht="12.75">
      <c r="A8" s="3602" t="s">
        <v>1269</v>
      </c>
      <c r="B8" s="3589">
        <v>15</v>
      </c>
      <c r="C8" s="3605"/>
      <c r="D8" s="3625"/>
      <c r="E8" s="131" t="s">
        <v>1270</v>
      </c>
      <c r="F8" s="1757"/>
      <c r="G8" s="1757"/>
      <c r="H8" s="1757"/>
      <c r="I8" s="1373"/>
    </row>
    <row r="9" spans="1:12" ht="12.75">
      <c r="A9" s="3602"/>
      <c r="B9" s="3589"/>
      <c r="C9" s="3607"/>
      <c r="D9" s="3625"/>
      <c r="E9" s="131" t="s">
        <v>1271</v>
      </c>
      <c r="F9" s="1757"/>
      <c r="G9" s="1757"/>
      <c r="H9" s="1757"/>
      <c r="I9" s="1373"/>
    </row>
    <row r="10" spans="1:12" ht="12.75">
      <c r="A10" s="3602" t="s">
        <v>1272</v>
      </c>
      <c r="B10" s="3589">
        <v>15</v>
      </c>
      <c r="C10" s="3605"/>
      <c r="D10" s="3625"/>
      <c r="E10" s="131" t="s">
        <v>1273</v>
      </c>
      <c r="F10" s="1757"/>
      <c r="G10" s="1757"/>
      <c r="H10" s="1757"/>
      <c r="I10" s="1373"/>
    </row>
    <row r="11" spans="1:12" ht="12.75">
      <c r="A11" s="3602"/>
      <c r="B11" s="3589"/>
      <c r="C11" s="3607"/>
      <c r="D11" s="3625"/>
      <c r="E11" s="131" t="s">
        <v>1274</v>
      </c>
      <c r="F11" s="1757"/>
      <c r="G11" s="1757"/>
      <c r="H11" s="1757"/>
      <c r="I11" s="1373"/>
    </row>
    <row r="12" spans="1:12" ht="12.75">
      <c r="A12" s="3602" t="s">
        <v>1275</v>
      </c>
      <c r="B12" s="3589">
        <v>15</v>
      </c>
      <c r="C12" s="3605"/>
      <c r="D12" s="3625"/>
      <c r="E12" s="131" t="s">
        <v>1276</v>
      </c>
      <c r="F12" s="1757"/>
      <c r="G12" s="1757"/>
      <c r="H12" s="1757"/>
      <c r="I12" s="1373"/>
    </row>
    <row r="13" spans="1:12" ht="12.75">
      <c r="A13" s="3602"/>
      <c r="B13" s="3589"/>
      <c r="C13" s="3607"/>
      <c r="D13" s="3625"/>
      <c r="E13" s="131" t="s">
        <v>1277</v>
      </c>
      <c r="F13" s="1757"/>
      <c r="G13" s="1757"/>
      <c r="H13" s="1757"/>
      <c r="I13" s="1373"/>
    </row>
    <row r="14" spans="1:12" ht="12.75">
      <c r="A14" s="3602" t="s">
        <v>1278</v>
      </c>
      <c r="B14" s="3589">
        <v>30</v>
      </c>
      <c r="C14" s="3605">
        <v>7</v>
      </c>
      <c r="D14" s="3625">
        <v>3</v>
      </c>
      <c r="E14" s="131" t="s">
        <v>1279</v>
      </c>
      <c r="F14" s="1757"/>
      <c r="G14" s="1757"/>
      <c r="H14" s="1757"/>
      <c r="I14" s="1373"/>
    </row>
    <row r="15" spans="1:12" ht="12.75">
      <c r="A15" s="3602"/>
      <c r="B15" s="3589"/>
      <c r="C15" s="3606"/>
      <c r="D15" s="3625"/>
      <c r="E15" s="131" t="s">
        <v>1280</v>
      </c>
      <c r="F15" s="1757"/>
      <c r="G15" s="1757"/>
      <c r="H15" s="1757"/>
      <c r="I15" s="1373"/>
    </row>
    <row r="16" spans="1:12" ht="12.75">
      <c r="A16" s="3602"/>
      <c r="B16" s="3589"/>
      <c r="C16" s="3607"/>
      <c r="D16" s="3625"/>
      <c r="E16" s="131" t="s">
        <v>1281</v>
      </c>
      <c r="F16" s="1757"/>
      <c r="G16" s="1757"/>
      <c r="H16" s="1757"/>
      <c r="I16" s="1373"/>
    </row>
    <row r="17" spans="1:36" ht="15">
      <c r="A17" s="1758" t="s">
        <v>1282</v>
      </c>
      <c r="B17" s="56"/>
      <c r="C17" s="132">
        <f>SUM(C5:C16)</f>
        <v>7</v>
      </c>
      <c r="D17" s="132">
        <f>SUM(D5:D16)</f>
        <v>3</v>
      </c>
      <c r="E17" s="129"/>
      <c r="F17" s="129"/>
      <c r="G17" s="129"/>
      <c r="H17" s="129"/>
      <c r="I17" s="129"/>
      <c r="K17" s="302"/>
      <c r="L17" s="302" t="s">
        <v>1283</v>
      </c>
      <c r="M17" s="302" t="s">
        <v>1284</v>
      </c>
    </row>
    <row r="18" spans="1:36" ht="31.9" customHeight="1" thickBot="1">
      <c r="A18" s="1759" t="s">
        <v>1285</v>
      </c>
      <c r="B18" s="1760"/>
      <c r="C18" s="133">
        <f>ROUND(C17/SUM(C17:D17),2)</f>
        <v>0.7</v>
      </c>
      <c r="D18" s="133">
        <f>1-C18</f>
        <v>0.30000000000000004</v>
      </c>
      <c r="E18" s="3612" t="s">
        <v>2127</v>
      </c>
      <c r="F18" s="3613"/>
      <c r="G18" s="3613"/>
      <c r="H18" s="3613"/>
      <c r="I18" s="3613"/>
      <c r="K18" s="302" t="s">
        <v>1286</v>
      </c>
      <c r="L18" s="302">
        <f>IF(C1="",'数据-汇总表'!E3,SUMIF(项目类型,C1,'数据-汇总表'!E17:E26)+SUMIF(项目类型,C1,'数据-汇总表'!I17:I26))</f>
        <v>58.44</v>
      </c>
      <c r="M18" s="302">
        <f>IF(C1="",'数据-汇总表'!E3,SUMIF(项目类型,C1,'数据-汇总表'!E17:E26))</f>
        <v>58.44</v>
      </c>
    </row>
    <row r="19" spans="1:36" ht="15">
      <c r="A19" s="1761" t="s">
        <v>1287</v>
      </c>
      <c r="B19" s="1762" t="s">
        <v>1288</v>
      </c>
      <c r="C19" s="134">
        <f ca="1">SUMIF(INDIRECT("'"&amp;C4&amp;"'"&amp;"!A:A"),结果表413!B19,INDIRECT("'"&amp;C4&amp;"'"&amp;"!B:B"))</f>
        <v>230.30619999999999</v>
      </c>
      <c r="D19" s="135">
        <f ca="1">SUMIF(INDIRECT("'"&amp;D4&amp;"'"&amp;"!A:A"),结果表413!B19,INDIRECT("'"&amp;D4&amp;"'"&amp;"!B:B"))</f>
        <v>161.73249999999999</v>
      </c>
      <c r="E19" s="1761" t="s">
        <v>1289</v>
      </c>
      <c r="F19" s="1762" t="s">
        <v>1288</v>
      </c>
      <c r="G19" s="136">
        <f ca="1">ROUND(C19*$C$18+D19*$D$18,0)</f>
        <v>210</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SUMIF(INDIRECT("'"&amp;C4&amp;"'"&amp;"!A:A"),结果表413!B20,INDIRECT("'"&amp;C4&amp;"'"&amp;"!B:B"))</f>
        <v>39409</v>
      </c>
      <c r="D20" s="138">
        <f ca="1">SUMIF(INDIRECT("'"&amp;D4&amp;"'"&amp;"!A:A"),结果表413!B20,INDIRECT("'"&amp;D4&amp;"'"&amp;"!B:B"))</f>
        <v>27675</v>
      </c>
      <c r="E20" s="1764"/>
      <c r="F20" s="1026" t="s">
        <v>1292</v>
      </c>
      <c r="G20" s="139">
        <f ca="1">ROUND(C20*$C$18+D20*$D$18,0)</f>
        <v>35889</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0.42399455891672977</v>
      </c>
      <c r="E22" s="129"/>
      <c r="F22" s="129"/>
      <c r="G22" s="129"/>
      <c r="H22" s="129"/>
      <c r="I22" s="129"/>
    </row>
    <row r="23" spans="1:36" ht="13.5" thickBot="1">
      <c r="A23" s="1747"/>
      <c r="B23" s="1747"/>
      <c r="C23" s="1747"/>
      <c r="D23" s="1747"/>
      <c r="E23" s="129"/>
      <c r="F23" s="129"/>
      <c r="G23" s="129"/>
      <c r="H23" s="129"/>
      <c r="I23" s="129"/>
    </row>
    <row r="24" spans="1:36" ht="14.25">
      <c r="A24" s="3596" t="s">
        <v>1296</v>
      </c>
      <c r="B24" s="1762" t="s">
        <v>1288</v>
      </c>
      <c r="C24" s="136">
        <f>IF(B30=0,0,D30)</f>
        <v>0</v>
      </c>
      <c r="D24" s="1769"/>
      <c r="E24" s="129"/>
      <c r="F24" s="129"/>
      <c r="G24" s="129"/>
      <c r="H24" s="129"/>
      <c r="I24" s="129"/>
    </row>
    <row r="25" spans="1:36" ht="14.25">
      <c r="A25" s="3597"/>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35889</v>
      </c>
      <c r="D32" s="1775" t="s">
        <v>3455</v>
      </c>
      <c r="E32" s="129"/>
      <c r="F32" s="129"/>
      <c r="G32" s="129"/>
      <c r="H32" s="129"/>
      <c r="I32" s="129"/>
    </row>
    <row r="33" spans="1:15" ht="15">
      <c r="A33" s="786" t="s">
        <v>1303</v>
      </c>
      <c r="B33" s="1776"/>
      <c r="C33" s="1777" t="s">
        <v>3462</v>
      </c>
      <c r="D33" s="1778"/>
      <c r="E33" s="1779" t="s">
        <v>1304</v>
      </c>
      <c r="F33" s="1780" t="str">
        <f>IF(D32="楼面单价","取值（单价）","取值（总价）")</f>
        <v>取值（单价）</v>
      </c>
      <c r="G33" s="129"/>
      <c r="H33" s="129"/>
      <c r="I33" s="129"/>
    </row>
    <row r="34" spans="1:15" ht="15">
      <c r="A34" s="1781"/>
      <c r="B34" s="1782" t="s">
        <v>1305</v>
      </c>
      <c r="C34" s="148">
        <f>IF(C33="自定义",F34,C32-C35)</f>
        <v>0</v>
      </c>
      <c r="D34" s="861">
        <f ca="1">IF(C33="自定义",ROUND(C34/C32,3),IF(C33="收益比率",SUMIF(INDIRECT("'"&amp;D33&amp;"'"&amp;"!b:b"),"土地收益比率",INDIRECT("'"&amp;D33&amp;"'"&amp;"!c:c")),SUMIF(INDIRECT("'"&amp;D33&amp;"'"&amp;"!b:b"),"土地成本比率",INDIRECT("'"&amp;D33&amp;"'"&amp;"!c:c"))))</f>
        <v>0</v>
      </c>
      <c r="E34" s="1783" t="s">
        <v>1306</v>
      </c>
      <c r="F34" s="1330"/>
      <c r="G34" s="129"/>
      <c r="H34" s="129"/>
      <c r="I34" s="129"/>
    </row>
    <row r="35" spans="1:15" ht="15.75" thickBot="1">
      <c r="A35" s="1784"/>
      <c r="B35" s="1785" t="s">
        <v>1307</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1308</v>
      </c>
      <c r="F35" s="154"/>
      <c r="G35" s="129"/>
      <c r="H35" s="129"/>
      <c r="I35" s="129"/>
    </row>
    <row r="36" spans="1:15" ht="15.75" thickBot="1">
      <c r="A36" s="3616" t="s">
        <v>1309</v>
      </c>
      <c r="B36" s="1787" t="s">
        <v>1310</v>
      </c>
      <c r="C36" s="145"/>
      <c r="D36" s="1788"/>
      <c r="E36" s="1789"/>
      <c r="F36" s="1790"/>
      <c r="G36" s="129"/>
      <c r="H36" s="129"/>
      <c r="I36" s="129"/>
    </row>
    <row r="37" spans="1:15" ht="15.75" thickBot="1">
      <c r="A37" s="3617"/>
      <c r="B37" s="1674" t="s">
        <v>1311</v>
      </c>
      <c r="C37" s="147"/>
      <c r="D37" s="1139"/>
      <c r="E37" s="1139"/>
      <c r="F37" s="1790"/>
      <c r="G37" s="129"/>
      <c r="H37" s="129"/>
      <c r="I37" s="129"/>
    </row>
    <row r="38" spans="1:15" ht="15.75" thickBot="1">
      <c r="A38" s="3618"/>
      <c r="B38" s="1791" t="s">
        <v>1312</v>
      </c>
      <c r="C38" s="674"/>
      <c r="D38" s="1792" t="s">
        <v>1313</v>
      </c>
      <c r="E38" s="1139"/>
      <c r="F38" s="1790"/>
      <c r="G38" s="129"/>
      <c r="H38" s="129"/>
      <c r="I38" s="129"/>
    </row>
    <row r="39" spans="1:15" ht="15">
      <c r="A39" s="1764" t="s">
        <v>1314</v>
      </c>
      <c r="B39" s="1793" t="s">
        <v>1315</v>
      </c>
      <c r="C39" s="1794" t="s">
        <v>1316</v>
      </c>
      <c r="D39" s="1794" t="s">
        <v>1317</v>
      </c>
      <c r="E39" s="1795" t="s">
        <v>1318</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593" t="s">
        <v>1323</v>
      </c>
      <c r="B45" s="3594"/>
      <c r="C45" s="3595"/>
      <c r="D45" s="155">
        <f ca="1">ROUND(H101*F45,0)</f>
        <v>210</v>
      </c>
      <c r="E45" s="156" t="s">
        <v>1324</v>
      </c>
      <c r="F45" s="157">
        <v>1</v>
      </c>
      <c r="G45" s="158" t="s">
        <v>1325</v>
      </c>
      <c r="H45" s="129"/>
      <c r="I45" s="129"/>
      <c r="J45" s="3671" t="s">
        <v>1326</v>
      </c>
      <c r="K45" s="3671"/>
      <c r="L45" s="3671"/>
      <c r="M45" s="3671"/>
      <c r="N45" s="3671"/>
      <c r="O45" s="3671"/>
    </row>
    <row r="46" spans="1:15" ht="14.25" customHeight="1">
      <c r="A46" s="3590" t="s">
        <v>1327</v>
      </c>
      <c r="B46" s="3591"/>
      <c r="C46" s="3591"/>
      <c r="D46" s="3591"/>
      <c r="E46" s="3591"/>
      <c r="F46" s="3591"/>
      <c r="G46" s="3592"/>
      <c r="H46" s="1806"/>
      <c r="I46" s="159"/>
      <c r="J46" s="2522">
        <v>1</v>
      </c>
      <c r="K46" s="3652" t="s">
        <v>1328</v>
      </c>
      <c r="L46" s="3652"/>
      <c r="M46" s="3672"/>
      <c r="N46" s="3672"/>
      <c r="O46" s="3672"/>
    </row>
    <row r="47" spans="1:15" ht="12" customHeight="1">
      <c r="A47" s="160" t="s">
        <v>1329</v>
      </c>
      <c r="B47" s="161"/>
      <c r="C47" s="162"/>
      <c r="D47" s="1087" t="s">
        <v>1330</v>
      </c>
      <c r="E47" s="302" t="s">
        <v>1331</v>
      </c>
      <c r="F47" s="163" t="s">
        <v>1332</v>
      </c>
      <c r="G47" s="2545" t="s">
        <v>1333</v>
      </c>
      <c r="H47" s="2546"/>
      <c r="I47" s="159"/>
      <c r="J47" s="2522">
        <v>2</v>
      </c>
      <c r="K47" s="3652" t="s">
        <v>1334</v>
      </c>
      <c r="L47" s="3652"/>
      <c r="M47" s="3673">
        <f>'数据-取费表'!B2</f>
        <v>45405</v>
      </c>
      <c r="N47" s="3673"/>
      <c r="O47" s="3673"/>
    </row>
    <row r="48" spans="1:15" ht="25.5">
      <c r="A48" s="3621" t="s">
        <v>1335</v>
      </c>
      <c r="B48" s="3604"/>
      <c r="C48" s="3604"/>
      <c r="D48" s="2324">
        <f ca="1">IF(H48="情况1",0,IF(H48="情况2",D52,IF(H48="情况3",D53,IF(H48="情况4",D54))))</f>
        <v>0</v>
      </c>
      <c r="E48" s="2334" t="str">
        <f>IF(H48="情况4","(销售额-原购置价)×税（费）率","销售额×税（费）率")</f>
        <v>(销售额-原购置价)×税（费）率</v>
      </c>
      <c r="F48" s="2547">
        <f>IF(H48="情况1","免征",'数据-取费表'!B41)</f>
        <v>5.6000000000000001E-2</v>
      </c>
      <c r="G48" s="2548" t="s">
        <v>1336</v>
      </c>
      <c r="H48" s="2549" t="s">
        <v>3473</v>
      </c>
      <c r="I48" s="1806"/>
      <c r="J48" s="2522">
        <v>3</v>
      </c>
      <c r="K48" s="3652" t="s">
        <v>1337</v>
      </c>
      <c r="L48" s="3652"/>
      <c r="M48" s="3674">
        <f ca="1">H101</f>
        <v>210</v>
      </c>
      <c r="N48" s="3674"/>
      <c r="O48" s="3674"/>
    </row>
    <row r="49" spans="1:35" ht="25.5" customHeight="1">
      <c r="A49" s="2333" t="s">
        <v>1338</v>
      </c>
      <c r="B49" s="3588" t="s">
        <v>1339</v>
      </c>
      <c r="C49" s="3588"/>
      <c r="D49" s="1590">
        <v>0</v>
      </c>
      <c r="E49" s="324" t="s">
        <v>1340</v>
      </c>
      <c r="F49" s="2423" t="s">
        <v>28</v>
      </c>
      <c r="G49" s="3658"/>
      <c r="H49" s="2310" t="s">
        <v>2130</v>
      </c>
      <c r="I49" s="2311"/>
      <c r="J49" s="2522">
        <v>4</v>
      </c>
      <c r="K49" s="3652" t="str">
        <f>IF(项目基本情况!E8="房地产抵押价值","房地产抵押价值","抵押担保权已注销时的房地产抵押价值")</f>
        <v>房地产抵押价值</v>
      </c>
      <c r="L49" s="3652"/>
      <c r="M49" s="3674">
        <f ca="1">IF(项目基本情况!E8="房地产抵押价值",H107,H109)</f>
        <v>210</v>
      </c>
      <c r="N49" s="3674"/>
      <c r="O49" s="3674"/>
    </row>
    <row r="50" spans="1:35" ht="25.5" customHeight="1">
      <c r="A50" s="2550"/>
      <c r="B50" s="3588" t="s">
        <v>1341</v>
      </c>
      <c r="C50" s="3588"/>
      <c r="D50" s="2551"/>
      <c r="E50" s="332"/>
      <c r="F50" s="2423"/>
      <c r="G50" s="3659"/>
      <c r="H50" s="2312" t="s">
        <v>2131</v>
      </c>
      <c r="I50" s="2311"/>
      <c r="J50" s="3671" t="s">
        <v>1342</v>
      </c>
      <c r="K50" s="3671"/>
      <c r="L50" s="3671"/>
      <c r="M50" s="3671"/>
      <c r="N50" s="3671"/>
      <c r="O50" s="3671"/>
    </row>
    <row r="51" spans="1:35" ht="20.45" customHeight="1">
      <c r="A51" s="2552"/>
      <c r="B51" s="3588" t="s">
        <v>1343</v>
      </c>
      <c r="C51" s="3588"/>
      <c r="D51" s="1087"/>
      <c r="E51" s="327"/>
      <c r="F51" s="2423"/>
      <c r="G51" s="3660"/>
      <c r="H51" s="2312" t="s">
        <v>2132</v>
      </c>
      <c r="I51" s="2311"/>
      <c r="J51" s="2523" t="s">
        <v>1344</v>
      </c>
      <c r="K51" s="3652" t="s">
        <v>1345</v>
      </c>
      <c r="L51" s="3652"/>
      <c r="M51" s="2523" t="s">
        <v>1346</v>
      </c>
      <c r="N51" s="2523" t="s">
        <v>1347</v>
      </c>
      <c r="O51" s="2523" t="s">
        <v>1348</v>
      </c>
    </row>
    <row r="52" spans="1:35" ht="24" customHeight="1">
      <c r="A52" s="2335" t="s">
        <v>1349</v>
      </c>
      <c r="B52" s="3588" t="s">
        <v>1350</v>
      </c>
      <c r="C52" s="3588"/>
      <c r="D52" s="1087">
        <f ca="1">ROUND(D45*'数据-取费表'!B41/(1+'数据-取费表'!C42),0)</f>
        <v>11</v>
      </c>
      <c r="E52" s="2334" t="s">
        <v>1351</v>
      </c>
      <c r="F52" s="2553">
        <f>'数据-取费表'!B41</f>
        <v>5.6000000000000001E-2</v>
      </c>
      <c r="G52" s="2554"/>
      <c r="H52" s="2543"/>
      <c r="I52" s="1807"/>
      <c r="J52" s="2522">
        <v>1</v>
      </c>
      <c r="K52" s="3653" t="s">
        <v>1352</v>
      </c>
      <c r="L52" s="3653"/>
      <c r="M52" s="2524">
        <f ca="1">D48</f>
        <v>0</v>
      </c>
      <c r="N52" s="2522" t="str">
        <f>E48</f>
        <v>(销售额-原购置价)×税（费）率</v>
      </c>
      <c r="O52" s="2525">
        <f>F48</f>
        <v>5.6000000000000001E-2</v>
      </c>
    </row>
    <row r="53" spans="1:35" ht="12" customHeight="1">
      <c r="A53" s="2335" t="s">
        <v>1353</v>
      </c>
      <c r="B53" s="3614" t="s">
        <v>2287</v>
      </c>
      <c r="C53" s="3615"/>
      <c r="D53" s="1087">
        <f ca="1">ROUND(D45*'数据-取费表'!B41/(1+'数据-取费表'!C42),0)</f>
        <v>11</v>
      </c>
      <c r="E53" s="2334" t="s">
        <v>1351</v>
      </c>
      <c r="F53" s="2553">
        <f>'数据-取费表'!B41</f>
        <v>5.6000000000000001E-2</v>
      </c>
      <c r="G53" s="2554"/>
      <c r="H53" s="2543"/>
      <c r="I53" s="1807"/>
      <c r="J53" s="2522">
        <v>2</v>
      </c>
      <c r="K53" s="3653" t="s">
        <v>1354</v>
      </c>
      <c r="L53" s="3653"/>
      <c r="M53" s="2524">
        <f t="shared" ref="M53:O54" ca="1" si="0">D55</f>
        <v>0</v>
      </c>
      <c r="N53" s="2522" t="str">
        <f t="shared" si="0"/>
        <v>销售额×税（费）率</v>
      </c>
      <c r="O53" s="2525">
        <f t="shared" si="0"/>
        <v>5.0000000000000001E-4</v>
      </c>
    </row>
    <row r="54" spans="1:35" ht="12" customHeight="1">
      <c r="A54" s="2335" t="s">
        <v>1355</v>
      </c>
      <c r="B54" s="3614" t="s">
        <v>2288</v>
      </c>
      <c r="C54" s="3615"/>
      <c r="D54" s="1087">
        <f ca="1">C68</f>
        <v>0</v>
      </c>
      <c r="E54" s="327" t="s">
        <v>1356</v>
      </c>
      <c r="F54" s="2553">
        <f>'数据-取费表'!B41</f>
        <v>5.6000000000000001E-2</v>
      </c>
      <c r="G54" s="2554"/>
      <c r="H54" s="2555"/>
      <c r="I54" s="1807"/>
      <c r="J54" s="2522">
        <v>3</v>
      </c>
      <c r="K54" s="3653" t="s">
        <v>1357</v>
      </c>
      <c r="L54" s="3653"/>
      <c r="M54" s="2524">
        <f t="shared" ca="1" si="0"/>
        <v>0</v>
      </c>
      <c r="N54" s="2522" t="str">
        <f t="shared" si="0"/>
        <v>增值额×税（费）率</v>
      </c>
      <c r="O54" s="2526" t="str">
        <f t="shared" si="0"/>
        <v>——</v>
      </c>
    </row>
    <row r="55" spans="1:35" ht="24" customHeight="1">
      <c r="A55" s="3603" t="s">
        <v>1358</v>
      </c>
      <c r="B55" s="3604"/>
      <c r="C55" s="3604"/>
      <c r="D55" s="2324">
        <f ca="1">IF(H55="个人住宅",0,ROUND(D45*I55,0))</f>
        <v>0</v>
      </c>
      <c r="E55" s="2334" t="s">
        <v>1359</v>
      </c>
      <c r="F55" s="2553">
        <f>IF(H55="正常",I55,"免征")</f>
        <v>5.0000000000000001E-4</v>
      </c>
      <c r="G55" s="2554"/>
      <c r="H55" s="2549" t="s">
        <v>3400</v>
      </c>
      <c r="I55" s="165">
        <f>'数据-取费表'!B49</f>
        <v>5.0000000000000001E-4</v>
      </c>
      <c r="J55" s="2522" t="str">
        <f>IF(H59="非个人房产","",4)</f>
        <v/>
      </c>
      <c r="K55" s="3653" t="str">
        <f>IF(H59="非个人房产","——","个人所得税")</f>
        <v>——</v>
      </c>
      <c r="L55" s="3653"/>
      <c r="M55" s="2527" t="str">
        <f>D59</f>
        <v>——</v>
      </c>
      <c r="N55" s="2040" t="str">
        <f>E59</f>
        <v>——</v>
      </c>
      <c r="O55" s="2528" t="str">
        <f>F59</f>
        <v>——</v>
      </c>
    </row>
    <row r="56" spans="1:35" ht="24.75">
      <c r="A56" s="3603" t="s">
        <v>1360</v>
      </c>
      <c r="B56" s="3604"/>
      <c r="C56" s="3604"/>
      <c r="D56" s="2324">
        <f ca="1">IF(H56="个人住宅",D57,D58)</f>
        <v>0</v>
      </c>
      <c r="E56" s="2334" t="s">
        <v>1361</v>
      </c>
      <c r="F56" s="2553" t="str">
        <f>IF(H56="正常",F58,"免征")</f>
        <v>——</v>
      </c>
      <c r="G56" s="2556" t="s">
        <v>1362</v>
      </c>
      <c r="H56" s="2557" t="s">
        <v>3400</v>
      </c>
      <c r="I56" s="1808"/>
      <c r="J56" s="2522" t="str">
        <f>IF(项目基本情况!K6="上海银行",IF(J55="",4,J55+1),"")</f>
        <v/>
      </c>
      <c r="K56" s="3676" t="str">
        <f>IF(项目基本情况!K6="上海银行","其他处置费用","")</f>
        <v/>
      </c>
      <c r="L56" s="3677"/>
      <c r="M56" s="2524" t="str">
        <f>IF(项目基本情况!K6="上海银行",M69,"")</f>
        <v/>
      </c>
      <c r="N56" s="3676" t="str">
        <f>IF(项目基本情况!K6="上海银行","包含处置中涉及的律师、诉讼、拍卖、评估等费用","")</f>
        <v/>
      </c>
      <c r="O56" s="3679"/>
    </row>
    <row r="57" spans="1:35" ht="12.75">
      <c r="A57" s="2335" t="s">
        <v>1338</v>
      </c>
      <c r="B57" s="3614" t="s">
        <v>1363</v>
      </c>
      <c r="C57" s="3615"/>
      <c r="D57" s="1590">
        <v>0</v>
      </c>
      <c r="E57" s="324" t="s">
        <v>1340</v>
      </c>
      <c r="F57" s="302"/>
      <c r="G57" s="2554"/>
      <c r="H57" s="2558"/>
      <c r="I57" s="1808"/>
      <c r="J57" s="3653">
        <f>IF(AND(J55="",J56=""),4,IF(项目基本情况!K6="上海银行",结果表413!J56+1,结果表413!J55+1))</f>
        <v>4</v>
      </c>
      <c r="K57" s="3653" t="s">
        <v>1364</v>
      </c>
      <c r="L57" s="2529" t="s">
        <v>1365</v>
      </c>
      <c r="M57" s="2530"/>
      <c r="N57" s="2531">
        <f ca="1">SUMIF(M52:M56,"&lt;9e307")</f>
        <v>0</v>
      </c>
      <c r="O57" s="2532"/>
      <c r="P57" s="2689">
        <f ca="1">N57/M49</f>
        <v>0</v>
      </c>
    </row>
    <row r="58" spans="1:35" ht="24.75">
      <c r="A58" s="2335" t="s">
        <v>1349</v>
      </c>
      <c r="B58" s="3614" t="s">
        <v>1366</v>
      </c>
      <c r="C58" s="3588"/>
      <c r="D58" s="2324">
        <f ca="1">IF(H58="转让取得",C81,C97)</f>
        <v>0</v>
      </c>
      <c r="E58" s="2334" t="s">
        <v>1361</v>
      </c>
      <c r="F58" s="302" t="s">
        <v>28</v>
      </c>
      <c r="G58" s="2554"/>
      <c r="H58" s="2557" t="s">
        <v>3474</v>
      </c>
      <c r="I58" s="1808"/>
      <c r="J58" s="3653"/>
      <c r="K58" s="3653"/>
      <c r="L58" s="2529" t="s">
        <v>1367</v>
      </c>
      <c r="M58" s="2533"/>
      <c r="N58" s="2534" t="str">
        <f ca="1">NUMBERSTRING(INT(N57*10000),2)&amp;"元整"</f>
        <v>零元整</v>
      </c>
      <c r="O58" s="2535"/>
    </row>
    <row r="59" spans="1:35" ht="24.75" thickBot="1">
      <c r="A59" s="3656" t="s">
        <v>1368</v>
      </c>
      <c r="B59" s="3657"/>
      <c r="C59" s="3657"/>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1362</v>
      </c>
      <c r="H59" s="2314" t="s">
        <v>3475</v>
      </c>
      <c r="I59" s="2313" t="s">
        <v>2133</v>
      </c>
      <c r="J59" s="3654">
        <f>J57+1</f>
        <v>5</v>
      </c>
      <c r="K59" s="3653" t="s">
        <v>1369</v>
      </c>
      <c r="L59" s="2522" t="s">
        <v>1365</v>
      </c>
      <c r="M59" s="2536"/>
      <c r="N59" s="2537">
        <f ca="1">M49-N57</f>
        <v>210</v>
      </c>
      <c r="O59" s="2538"/>
    </row>
    <row r="60" spans="1:35" ht="12" customHeight="1">
      <c r="A60" s="1809"/>
      <c r="B60" s="1747"/>
      <c r="C60" s="1747"/>
      <c r="D60" s="1747"/>
      <c r="E60" s="1578"/>
      <c r="F60" s="1808"/>
      <c r="G60" s="1808"/>
      <c r="H60" s="1810"/>
      <c r="I60" s="129"/>
      <c r="J60" s="3655"/>
      <c r="K60" s="3653"/>
      <c r="L60" s="2529" t="s">
        <v>1367</v>
      </c>
      <c r="M60" s="2533"/>
      <c r="N60" s="2534" t="str">
        <f ca="1">NUMBERSTRING(INT(N59*10000),2)&amp;"元整"</f>
        <v>贰佰壹拾万元整</v>
      </c>
      <c r="O60" s="2535"/>
    </row>
    <row r="61" spans="1:35" ht="13.5" thickBot="1">
      <c r="A61" s="3601" t="s">
        <v>1370</v>
      </c>
      <c r="B61" s="3601"/>
      <c r="C61" s="3601"/>
      <c r="D61" s="3601"/>
      <c r="E61" s="3601"/>
      <c r="F61" s="1808"/>
      <c r="G61" s="1808"/>
      <c r="H61" s="1810"/>
      <c r="I61" s="129"/>
      <c r="J61" s="2522">
        <f>J59+1</f>
        <v>6</v>
      </c>
      <c r="K61" s="3653" t="s">
        <v>1371</v>
      </c>
      <c r="L61" s="3653"/>
      <c r="M61" s="2539"/>
      <c r="N61" s="2540">
        <f ca="1">ROUND(N59*10000/'数据-汇总表'!E3,0)</f>
        <v>15099</v>
      </c>
      <c r="O61" s="2541"/>
    </row>
    <row r="62" spans="1:35" ht="12.75">
      <c r="A62" s="3619" t="s">
        <v>1372</v>
      </c>
      <c r="B62" s="3620"/>
      <c r="C62" s="2021"/>
      <c r="D62" s="2021" t="s">
        <v>1373</v>
      </c>
      <c r="E62" s="166" t="s">
        <v>1374</v>
      </c>
      <c r="F62" s="1808"/>
      <c r="G62" s="1808"/>
      <c r="H62" s="1810"/>
      <c r="I62" s="129"/>
    </row>
    <row r="63" spans="1:35" ht="12.75">
      <c r="A63" s="173" t="s">
        <v>330</v>
      </c>
      <c r="B63" s="167" t="s">
        <v>1375</v>
      </c>
      <c r="C63" s="2563">
        <f ca="1">ROUND((C64+C65)/(1+'数据-取费表'!C42),0)</f>
        <v>200</v>
      </c>
      <c r="D63" s="167"/>
      <c r="E63" s="168"/>
      <c r="F63" s="1808"/>
      <c r="G63" s="1808"/>
      <c r="H63" s="1810"/>
      <c r="I63" s="129"/>
      <c r="J63" s="3678" t="s">
        <v>1376</v>
      </c>
      <c r="K63" s="1332" t="s">
        <v>1377</v>
      </c>
      <c r="L63" s="1332">
        <f ca="1">IF(M49&gt;10000,M49*0.5%,IF(AND(M49&gt;1000,M49&lt;=10000),M49*1%,IF(AND(M49&gt;100,M49&lt;=1000),M49*3%,IF(AND(M49&gt;10,M49&lt;=100),M49*5%,M49*8%))))</f>
        <v>6.3</v>
      </c>
      <c r="M63" s="302">
        <f ca="1">ROUND(L63,1)</f>
        <v>6.3</v>
      </c>
      <c r="N63" s="2542"/>
      <c r="Z63" s="1752"/>
      <c r="AI63" s="1753"/>
    </row>
    <row r="64" spans="1:35" ht="14.25" customHeight="1">
      <c r="A64" s="169" t="s">
        <v>325</v>
      </c>
      <c r="B64" s="170" t="s">
        <v>1378</v>
      </c>
      <c r="C64" s="2564">
        <f ca="1">D45</f>
        <v>210</v>
      </c>
      <c r="D64" s="170" t="s">
        <v>26</v>
      </c>
      <c r="E64" s="172"/>
      <c r="F64" s="1808"/>
      <c r="G64" s="1808"/>
      <c r="H64" s="1810"/>
      <c r="I64" s="129"/>
      <c r="J64" s="3678"/>
      <c r="K64" s="1332" t="s">
        <v>1379</v>
      </c>
      <c r="L64" s="1332">
        <f ca="1">IF(M49&gt;2000,M49*0.5%,IF(AND(M49&gt;1000,M49&lt;=2000),M49*0.6%,IF(AND(M49&gt;500,M49&lt;=1000),M49*0.7%,IF(AND(M49&gt;200,M49&lt;=500),M49*0.8%,IF(AND(M49&gt;100,M49&lt;=200),M49*0.9%,IF(AND(M49&gt;50,M49&lt;=100),M49*1%,IF(AND(M49&gt;20,M49&lt;=50),M49*1.5%,IF(AND(M49&gt;10,M49&lt;=20),M49*2%,IF(AND(M49&gt;1,M49&lt;=10),M49*2.5%)))))))))</f>
        <v>1.68</v>
      </c>
      <c r="M64" s="302">
        <f t="shared" ref="M64:M65" ca="1" si="1">ROUND(L64,1)</f>
        <v>1.7</v>
      </c>
      <c r="N64" s="2543" t="s">
        <v>1380</v>
      </c>
      <c r="Z64" s="1752"/>
      <c r="AI64" s="1753"/>
    </row>
    <row r="65" spans="1:35" ht="14.25" customHeight="1">
      <c r="A65" s="169" t="s">
        <v>326</v>
      </c>
      <c r="B65" s="170" t="s">
        <v>1381</v>
      </c>
      <c r="C65" s="2565"/>
      <c r="D65" s="170"/>
      <c r="E65" s="172"/>
      <c r="F65" s="1808"/>
      <c r="G65" s="1808"/>
      <c r="H65" s="1810"/>
      <c r="I65" s="129"/>
      <c r="J65" s="3678"/>
      <c r="K65" s="1332" t="s">
        <v>1382</v>
      </c>
      <c r="L65" s="1332">
        <f ca="1">IF(M49&gt;1000,M49*0.1%,IF(AND(M49&gt;500,M49&lt;=1000),M49*0.5%,IF(AND(M49&gt;50,M49&lt;=500),M49*1%,IF(AND(M49&gt;1,M49&lt;=50),M49*1.5%))))</f>
        <v>2.1</v>
      </c>
      <c r="M65" s="302">
        <f t="shared" ca="1" si="1"/>
        <v>2.1</v>
      </c>
      <c r="N65" s="2543" t="s">
        <v>1380</v>
      </c>
      <c r="Z65" s="1752"/>
      <c r="AI65" s="1753"/>
    </row>
    <row r="66" spans="1:35" ht="14.25" customHeight="1">
      <c r="A66" s="173" t="s">
        <v>327</v>
      </c>
      <c r="B66" s="174" t="s">
        <v>1383</v>
      </c>
      <c r="C66" s="2566">
        <f>C75/1.05</f>
        <v>238.09523809523807</v>
      </c>
      <c r="D66" s="174" t="s">
        <v>26</v>
      </c>
      <c r="E66" s="1338" t="s">
        <v>669</v>
      </c>
      <c r="F66" s="1808"/>
      <c r="G66" s="1808"/>
      <c r="H66" s="1810"/>
      <c r="I66" s="129"/>
      <c r="J66" s="3678"/>
      <c r="K66" s="1332" t="s">
        <v>1384</v>
      </c>
      <c r="L66" s="1332">
        <f ca="1">M49*0.5%</f>
        <v>1.05</v>
      </c>
      <c r="M66" s="302">
        <f ca="1">IF(L66&gt;0.5,0.5,ROUND(L66,0))</f>
        <v>0.5</v>
      </c>
      <c r="N66" s="2543" t="s">
        <v>1385</v>
      </c>
      <c r="Z66" s="1752"/>
      <c r="AI66" s="1753"/>
    </row>
    <row r="67" spans="1:35" ht="14.25" customHeight="1">
      <c r="A67" s="173" t="s">
        <v>328</v>
      </c>
      <c r="B67" s="174" t="s">
        <v>1386</v>
      </c>
      <c r="C67" s="2567">
        <f ca="1">C63-C66</f>
        <v>-38.095238095238074</v>
      </c>
      <c r="D67" s="170" t="s">
        <v>26</v>
      </c>
      <c r="E67" s="172"/>
      <c r="F67" s="1808"/>
      <c r="G67" s="1808"/>
      <c r="H67" s="1810"/>
      <c r="I67" s="129"/>
      <c r="J67" s="3678"/>
      <c r="K67" s="1332" t="s">
        <v>1387</v>
      </c>
      <c r="L67" s="1332">
        <f ca="1">IF(M49&gt;=10000,(8.25+(M49-10000)*0.01%),IF(AND(M49&gt;=8000,M49&lt;10000),(7.85+(M49-8000)*0.02%),IF(AND(M49&gt;=5000,M49&lt;8000),(6.65+(M49-5000)*0.04%),IF(AND(M49&gt;=2000,M49&lt;5000),(4.25+(PM49-2000)*0.08%),IF(AND(M49&gt;=1000,M49&lt;2000),(2.75+(M49-1000)*0.15%),IF(AND(M49&gt;=100,M49&lt;1000),(0.5+(M49-100)*0.25%),IF(AND(M49&gt;0,M49&lt;100),M49*0.5%)))))))</f>
        <v>0.77500000000000002</v>
      </c>
      <c r="M67" s="302">
        <f ca="1">ROUND(L67*0.9,1)</f>
        <v>0.7</v>
      </c>
      <c r="N67" s="2542"/>
      <c r="Z67" s="1752"/>
      <c r="AI67" s="1753"/>
    </row>
    <row r="68" spans="1:35" ht="14.25" customHeight="1" thickBot="1">
      <c r="A68" s="176" t="s">
        <v>329</v>
      </c>
      <c r="B68" s="177" t="s">
        <v>1388</v>
      </c>
      <c r="C68" s="2568">
        <f ca="1">IF(C67&lt;=0,0,ROUND(C67*D68,0))</f>
        <v>0</v>
      </c>
      <c r="D68" s="2569">
        <f>'数据-取费表'!B41</f>
        <v>5.6000000000000001E-2</v>
      </c>
      <c r="E68" s="178"/>
      <c r="F68" s="1808"/>
      <c r="G68" s="1808"/>
      <c r="H68" s="1810"/>
      <c r="I68" s="129"/>
      <c r="J68" s="3678"/>
      <c r="K68" s="1332" t="s">
        <v>1389</v>
      </c>
      <c r="L68" s="1332">
        <f ca="1">IF(M49&gt;10000,M49*0.5%,IF(AND(M49&gt;5000,M49&lt;=10000),M49*1%,IF(AND(M49&gt;1000,M49&lt;=5000),M49*2%,IF(AND(M49&gt;200,M49&lt;=1000),M49*3%,M49*5%))))</f>
        <v>6.3</v>
      </c>
      <c r="M68" s="302">
        <f ca="1">ROUND(L68,1)</f>
        <v>6.3</v>
      </c>
      <c r="N68" s="2542"/>
      <c r="Z68" s="1752"/>
      <c r="AI68" s="1753"/>
    </row>
    <row r="69" spans="1:35" s="1772" customFormat="1" ht="16.5" customHeight="1">
      <c r="A69" s="1811"/>
      <c r="B69" s="1812"/>
      <c r="C69" s="1813"/>
      <c r="D69" s="1814"/>
      <c r="E69" s="1815"/>
      <c r="F69" s="1578"/>
      <c r="G69" s="1578"/>
      <c r="H69" s="1577"/>
      <c r="I69" s="1747"/>
      <c r="J69" s="3678"/>
      <c r="K69" s="1332" t="s">
        <v>1390</v>
      </c>
      <c r="L69" s="1332"/>
      <c r="M69" s="302">
        <f ca="1">ROUND(SUM(M63:M68),0)</f>
        <v>18</v>
      </c>
      <c r="N69" s="2544">
        <f ca="1">M69/M49</f>
        <v>8.5714285714285715E-2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40" t="s">
        <v>1391</v>
      </c>
      <c r="B70" s="3641"/>
      <c r="C70" s="3641"/>
      <c r="D70" s="3641"/>
      <c r="E70" s="3641"/>
      <c r="F70" s="3641"/>
      <c r="G70" s="3641"/>
      <c r="H70" s="364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9" t="s">
        <v>1372</v>
      </c>
      <c r="B71" s="3620"/>
      <c r="C71" s="2021"/>
      <c r="D71" s="2021" t="s">
        <v>1373</v>
      </c>
      <c r="E71" s="179" t="s">
        <v>1374</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7">
        <f ca="1">ROUND(D45/(1+'数据-取费表'!C42),0)</f>
        <v>200</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7">
        <f ca="1">C74+C78</f>
        <v>246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245</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0">
        <f>250</f>
        <v>250</v>
      </c>
      <c r="D75" s="170" t="s">
        <v>26</v>
      </c>
      <c r="E75" s="184" t="s">
        <v>1396</v>
      </c>
      <c r="F75" s="2571" t="s">
        <v>3476</v>
      </c>
      <c r="G75" s="184" t="s">
        <v>1397</v>
      </c>
      <c r="H75" s="2572">
        <f>2024-2019</f>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3">
        <v>0.05</v>
      </c>
      <c r="E76" s="3614" t="s">
        <v>1399</v>
      </c>
      <c r="F76" s="3588"/>
      <c r="G76" s="3588"/>
      <c r="H76" s="363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7</v>
      </c>
      <c r="D77" s="2574">
        <f>'数据-取费表'!B48+'数据-取费表'!B49</f>
        <v>3.0499999999999999E-2</v>
      </c>
      <c r="E77" s="2324" t="s">
        <v>1401</v>
      </c>
      <c r="F77" s="186"/>
      <c r="G77" s="1822" t="s">
        <v>3477</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5">
        <f ca="1">ROUND(D45*D78/(1+'数据-取费表'!C42),0)</f>
        <v>1</v>
      </c>
      <c r="D78" s="2576">
        <f>'数据-取费表'!B43</f>
        <v>6.000000000000001E-3</v>
      </c>
      <c r="E78" s="3598" t="s">
        <v>1403</v>
      </c>
      <c r="F78" s="3599"/>
      <c r="G78" s="3599"/>
      <c r="H78" s="360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1404</v>
      </c>
      <c r="C79" s="2567">
        <f ca="1">C72-C73</f>
        <v>-46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7">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8">
        <f ca="1">ROUND(IF(C79&lt;=0,0,IF(C80&gt;=200%,C79*60%-C73*35%,IF(C80&gt;=100%,C79*50%-C73*15%,IF(C80&gt;=50%,C79*40%-C73*5%,IF(C80&lt;50%,C79*30%,0))))),0)</f>
        <v>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0" t="s">
        <v>1407</v>
      </c>
      <c r="B83" s="3641"/>
      <c r="C83" s="3641"/>
      <c r="D83" s="3641"/>
      <c r="E83" s="3641"/>
      <c r="F83" s="3641"/>
      <c r="G83" s="3641"/>
      <c r="H83" s="364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9" t="s">
        <v>1372</v>
      </c>
      <c r="B84" s="3620"/>
      <c r="C84" s="2021"/>
      <c r="D84" s="2021"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7">
        <f ca="1">ROUND(D45/(1+'数据-取费表'!C42),0)</f>
        <v>200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7">
        <f ca="1">IF(H88="仅含出让金",C87+C90+C91+C92+C93+C94,C87+C91+C92+C93+C94)</f>
        <v>1</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1"/>
      <c r="D88" s="2576"/>
      <c r="E88" s="193" t="s">
        <v>1410</v>
      </c>
      <c r="F88" s="2327"/>
      <c r="G88" s="194" t="s">
        <v>1411</v>
      </c>
      <c r="H88" s="1824"/>
      <c r="I88" s="1821"/>
      <c r="J88" s="2520"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5">
        <f>ROUND(C88*D89,0)</f>
        <v>0</v>
      </c>
      <c r="D89" s="2576">
        <f>'数据-取费表'!B48+'数据-取费表'!B49</f>
        <v>3.0499999999999999E-2</v>
      </c>
      <c r="E89" s="193" t="s">
        <v>1412</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1"/>
      <c r="D90" s="2576"/>
      <c r="E90" s="193" t="str">
        <f>IF(H88="-","土地取得成本中已包含该笔费用"," ")</f>
        <v xml:space="preserve"> </v>
      </c>
      <c r="F90" s="2327"/>
      <c r="G90" s="3680" t="s">
        <v>2125</v>
      </c>
      <c r="H90" s="3681"/>
      <c r="I90" s="1821"/>
      <c r="J90" s="2520"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5">
        <f>IF(H91="——",成本法!C33,I91)</f>
        <v>0</v>
      </c>
      <c r="D91" s="2576"/>
      <c r="E91" s="3598" t="s">
        <v>1416</v>
      </c>
      <c r="F91" s="3599"/>
      <c r="G91" s="359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5">
        <f>ROUND((C87+C90+C91)*D92,0)</f>
        <v>0</v>
      </c>
      <c r="D92" s="2582"/>
      <c r="E92" s="3598" t="s">
        <v>1419</v>
      </c>
      <c r="F92" s="3599"/>
      <c r="G92" s="3599"/>
      <c r="H92" s="3608"/>
      <c r="I92" s="1821"/>
      <c r="J92" s="2521"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5">
        <f ca="1">ROUND(D45*D93/(1+'数据-取费表'!C42),0)</f>
        <v>1</v>
      </c>
      <c r="D93" s="2576">
        <f>'数据-取费表'!B43</f>
        <v>6.000000000000001E-3</v>
      </c>
      <c r="E93" s="3598" t="s">
        <v>1403</v>
      </c>
      <c r="F93" s="3599"/>
      <c r="G93" s="3599"/>
      <c r="H93" s="360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1">
        <f>ROUND((C87+C90+C91)*D94,0)</f>
        <v>0</v>
      </c>
      <c r="D94" s="2576">
        <v>0.2</v>
      </c>
      <c r="E94" s="3609" t="s">
        <v>1423</v>
      </c>
      <c r="F94" s="3610"/>
      <c r="G94" s="3610"/>
      <c r="H94" s="361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1404</v>
      </c>
      <c r="C95" s="2567">
        <f ca="1">ROUND(C85-C86,0)</f>
        <v>199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7">
        <f ca="1">IF(C95&lt;=0,0,C95/C86)</f>
        <v>199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8">
        <f ca="1">ROUND(IF(C95&lt;=0,0,IF(C96&gt;=200%,C95*60%-C86*35%,IF(C96&gt;=100%,C95*50%-C86*15%,IF(C96&gt;=50%,C95*40%-C86*5%,IF(C96&lt;50%,C95*30%,0))))),0)</f>
        <v>119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82" t="s">
        <v>1425</v>
      </c>
      <c r="B100" s="3583"/>
      <c r="C100" s="3583"/>
      <c r="D100" s="3600"/>
      <c r="E100" s="3583" t="s">
        <v>1426</v>
      </c>
      <c r="F100" s="3583"/>
      <c r="G100" s="3583"/>
      <c r="H100" s="3600"/>
      <c r="I100" s="129"/>
    </row>
    <row r="101" spans="1:35" ht="18.75" customHeight="1">
      <c r="A101" s="3661" t="s">
        <v>1427</v>
      </c>
      <c r="B101" s="3662"/>
      <c r="C101" s="2584" t="str">
        <f>C4</f>
        <v>比较法-办公售价413</v>
      </c>
      <c r="D101" s="2585" t="str">
        <f>D4</f>
        <v>收益法 (元)413</v>
      </c>
      <c r="E101" s="3675" t="s">
        <v>1428</v>
      </c>
      <c r="F101" s="3632"/>
      <c r="G101" s="1827" t="s">
        <v>1429</v>
      </c>
      <c r="H101" s="2594">
        <f ca="1">H118</f>
        <v>210</v>
      </c>
      <c r="I101" s="129"/>
    </row>
    <row r="102" spans="1:35" ht="18.75" customHeight="1">
      <c r="A102" s="3634" t="s">
        <v>1430</v>
      </c>
      <c r="B102" s="2583" t="s">
        <v>1429</v>
      </c>
      <c r="C102" s="2584">
        <f ca="1">IF(D32="楼面单价",ROUND(C19,0),C19)</f>
        <v>230</v>
      </c>
      <c r="D102" s="2585">
        <f ca="1">IF(D32="楼面单价",ROUND(D19,0),D19)</f>
        <v>162</v>
      </c>
      <c r="E102" s="3675"/>
      <c r="F102" s="3632"/>
      <c r="G102" s="1827" t="s">
        <v>1431</v>
      </c>
      <c r="H102" s="2554">
        <f ca="1">I118</f>
        <v>35889</v>
      </c>
      <c r="I102" s="129"/>
    </row>
    <row r="103" spans="1:35" ht="42.75" customHeight="1">
      <c r="A103" s="3634"/>
      <c r="B103" s="2583" t="s">
        <v>1431</v>
      </c>
      <c r="C103" s="2586">
        <f ca="1">C20</f>
        <v>39409</v>
      </c>
      <c r="D103" s="2587">
        <f ca="1">D20</f>
        <v>27675</v>
      </c>
      <c r="E103" s="3669" t="s">
        <v>1432</v>
      </c>
      <c r="F103" s="3670"/>
      <c r="G103" s="1828" t="s">
        <v>1433</v>
      </c>
      <c r="H103" s="2594">
        <f>IF(D36="正常操作",H104+H105+H106,H105+H106)</f>
        <v>0</v>
      </c>
      <c r="I103" s="129"/>
    </row>
    <row r="104" spans="1:35" ht="18.75" customHeight="1">
      <c r="A104" s="3634" t="s">
        <v>1434</v>
      </c>
      <c r="B104" s="2588" t="s">
        <v>1429</v>
      </c>
      <c r="C104" s="2589">
        <f ca="1">H118</f>
        <v>210</v>
      </c>
      <c r="D104" s="2590"/>
      <c r="E104" s="1674" t="s">
        <v>1435</v>
      </c>
      <c r="F104" s="1666"/>
      <c r="G104" s="1828" t="s">
        <v>1433</v>
      </c>
      <c r="H104" s="2595">
        <f>IF(D36="同一抵押权人同一抵押物续贷",C36&amp;"（续贷，未扣减，详见特别提示）",C36)</f>
        <v>0</v>
      </c>
      <c r="I104" s="129"/>
    </row>
    <row r="105" spans="1:35" ht="18.75" customHeight="1" thickBot="1">
      <c r="A105" s="3635"/>
      <c r="B105" s="2591" t="s">
        <v>1431</v>
      </c>
      <c r="C105" s="2592">
        <f ca="1">I118</f>
        <v>35889</v>
      </c>
      <c r="D105" s="2593"/>
      <c r="E105" s="1674" t="s">
        <v>1436</v>
      </c>
      <c r="F105" s="1666"/>
      <c r="G105" s="1828" t="s">
        <v>1433</v>
      </c>
      <c r="H105" s="2596">
        <f>C37</f>
        <v>0</v>
      </c>
      <c r="I105" s="129"/>
    </row>
    <row r="106" spans="1:35" ht="18.75" customHeight="1">
      <c r="A106" s="1747" t="s">
        <v>1437</v>
      </c>
      <c r="B106" s="1747"/>
      <c r="C106" s="1747"/>
      <c r="D106" s="1747"/>
      <c r="E106" s="1829" t="s">
        <v>1438</v>
      </c>
      <c r="F106" s="1666"/>
      <c r="G106" s="1828" t="s">
        <v>1433</v>
      </c>
      <c r="H106" s="2596">
        <f>C38</f>
        <v>0</v>
      </c>
      <c r="I106" s="129"/>
    </row>
    <row r="107" spans="1:35" ht="18.75" customHeight="1">
      <c r="A107" s="129"/>
      <c r="B107" s="129"/>
      <c r="C107" s="129"/>
      <c r="D107" s="129"/>
      <c r="E107" s="3631" t="str">
        <f>IF(项目基本情况!E8="已注销","——","3.房地产抵押价值")</f>
        <v>3.房地产抵押价值</v>
      </c>
      <c r="F107" s="3632"/>
      <c r="G107" s="1827" t="s">
        <v>1429</v>
      </c>
      <c r="H107" s="2594">
        <f ca="1">IF(E107="——","——",H101-H103)</f>
        <v>210</v>
      </c>
      <c r="I107" s="129"/>
    </row>
    <row r="108" spans="1:35" ht="18.75" customHeight="1">
      <c r="A108" s="129"/>
      <c r="B108" s="129"/>
      <c r="C108" s="129"/>
      <c r="D108" s="129"/>
      <c r="E108" s="3631"/>
      <c r="F108" s="3632"/>
      <c r="G108" s="1827" t="s">
        <v>1431</v>
      </c>
      <c r="H108" s="2554">
        <f ca="1">IF(H107=H101,H102,ROUND(H107*10000/'数据-汇总表'!E3,0))</f>
        <v>35889</v>
      </c>
      <c r="I108" s="129"/>
    </row>
    <row r="109" spans="1:35" ht="18.75" customHeight="1">
      <c r="A109" s="129"/>
      <c r="B109" s="129"/>
      <c r="C109" s="129"/>
      <c r="D109" s="129"/>
      <c r="E109" s="3631" t="str">
        <f>IF(项目基本情况!E8="已注销及未注销","4.抵押担保权已注销时的房地产抵押价值",IF(项目基本情况!E8="已注销","3.抵押担保权已注销时的房地产抵押价值","——"))</f>
        <v>——</v>
      </c>
      <c r="F109" s="3632"/>
      <c r="G109" s="1827" t="s">
        <v>1429</v>
      </c>
      <c r="H109" s="2597" t="str">
        <f>IF(E109="——","——",H101-H105-H106)</f>
        <v>——</v>
      </c>
      <c r="I109" s="129"/>
    </row>
    <row r="110" spans="1:35" ht="18.75" customHeight="1">
      <c r="A110" s="129"/>
      <c r="B110" s="129"/>
      <c r="C110" s="129"/>
      <c r="D110" s="129"/>
      <c r="E110" s="3631"/>
      <c r="F110" s="3632"/>
      <c r="G110" s="1827" t="s">
        <v>1431</v>
      </c>
      <c r="H110" s="2554" t="str">
        <f>IF(H109="——","——",ROUND(H109*10000/'数据-汇总表'!E3,0))</f>
        <v>——</v>
      </c>
      <c r="I110" s="129"/>
    </row>
    <row r="111" spans="1:35" ht="18.75" customHeight="1">
      <c r="A111" s="129"/>
      <c r="B111" s="129"/>
      <c r="C111" s="129"/>
      <c r="D111" s="129"/>
      <c r="E111" s="3663" t="str">
        <f>IF(项目基本情况!E9="抵押净值",IF(OR(项目基本情况!E8="已注销",项目基本情况!E8="房地产抵押价值"),"4.抵押净值","5.抵押净值"),"——")</f>
        <v>4.抵押净值</v>
      </c>
      <c r="F111" s="3633"/>
      <c r="G111" s="1827" t="s">
        <v>1429</v>
      </c>
      <c r="H111" s="2594">
        <f ca="1">IF(E111="——","——",N59)</f>
        <v>210</v>
      </c>
      <c r="I111" s="129"/>
    </row>
    <row r="112" spans="1:35" ht="18.75" customHeight="1" thickBot="1">
      <c r="A112" s="129"/>
      <c r="B112" s="129"/>
      <c r="C112" s="129"/>
      <c r="D112" s="129"/>
      <c r="E112" s="3664"/>
      <c r="F112" s="3665"/>
      <c r="G112" s="1830" t="s">
        <v>1431</v>
      </c>
      <c r="H112" s="2598">
        <f ca="1">IF(E111="——","——",N61)</f>
        <v>15099</v>
      </c>
      <c r="I112" s="129"/>
    </row>
    <row r="113" spans="1:27" ht="18.75" customHeight="1">
      <c r="A113" s="129"/>
      <c r="B113" s="129"/>
      <c r="C113" s="129"/>
      <c r="D113" s="129"/>
      <c r="E113" s="3636" t="s">
        <v>1437</v>
      </c>
      <c r="F113" s="3636"/>
      <c r="G113" s="3636"/>
      <c r="H113" s="3636"/>
      <c r="I113" s="129"/>
    </row>
    <row r="114" spans="1:27" ht="3.75" customHeight="1">
      <c r="A114" s="1747"/>
      <c r="B114" s="1747"/>
      <c r="C114" s="1747"/>
      <c r="D114" s="1747"/>
      <c r="E114" s="1809"/>
      <c r="F114" s="1809"/>
      <c r="G114" s="1809"/>
      <c r="H114" s="1809"/>
      <c r="I114" s="1747"/>
    </row>
    <row r="115" spans="1:27" ht="18.75" customHeight="1">
      <c r="A115" s="3646" t="s">
        <v>1439</v>
      </c>
      <c r="B115" s="3647"/>
      <c r="C115" s="3647"/>
      <c r="D115" s="3647"/>
      <c r="E115" s="3647"/>
      <c r="F115" s="3647"/>
      <c r="G115" s="3647"/>
      <c r="H115" s="3647"/>
      <c r="I115" s="3648"/>
    </row>
    <row r="116" spans="1:27" ht="27" customHeight="1">
      <c r="A116" s="3602" t="s">
        <v>1440</v>
      </c>
      <c r="B116" s="3637" t="s">
        <v>1441</v>
      </c>
      <c r="C116" s="3637" t="s">
        <v>1442</v>
      </c>
      <c r="D116" s="3650" t="s">
        <v>1443</v>
      </c>
      <c r="E116" s="3651"/>
      <c r="F116" s="3645" t="s">
        <v>1444</v>
      </c>
      <c r="G116" s="3645"/>
      <c r="H116" s="3602" t="s">
        <v>1445</v>
      </c>
      <c r="I116" s="3602"/>
    </row>
    <row r="117" spans="1:27" ht="18.75" customHeight="1">
      <c r="A117" s="3602"/>
      <c r="B117" s="3638"/>
      <c r="C117" s="3638"/>
      <c r="D117" s="2329" t="s">
        <v>1446</v>
      </c>
      <c r="E117" s="2329" t="s">
        <v>1447</v>
      </c>
      <c r="F117" s="2329" t="s">
        <v>1446</v>
      </c>
      <c r="G117" s="2329" t="s">
        <v>1448</v>
      </c>
      <c r="H117" s="2329" t="s">
        <v>1446</v>
      </c>
      <c r="I117" s="2329" t="s">
        <v>1448</v>
      </c>
    </row>
    <row r="118" spans="1:27" ht="24.75" customHeight="1">
      <c r="A118" s="2599" t="str">
        <f>项目基本情况!S2</f>
        <v>北京市丰台区广安路9号院1号楼4层413房地产</v>
      </c>
      <c r="B118" s="2329">
        <f>M18</f>
        <v>58.44</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210</v>
      </c>
      <c r="I118" s="2329">
        <f ca="1">ROUND(IF(D32="楼面单价",C32,H118*10000/B118),0)</f>
        <v>35889</v>
      </c>
    </row>
    <row r="119" spans="1:27" ht="18.75" customHeight="1">
      <c r="A119" s="3602" t="s">
        <v>1449</v>
      </c>
      <c r="B119" s="3602"/>
      <c r="C119" s="3602"/>
      <c r="D119" s="3642" t="str">
        <f>NUMBERSTRING(INT(D118*10000),2)&amp;"元整"</f>
        <v>零元整</v>
      </c>
      <c r="E119" s="3644"/>
      <c r="F119" s="3642" t="str">
        <f>NUMBERSTRING(INT(F118*10000),2)&amp;"元整"</f>
        <v>零元整</v>
      </c>
      <c r="G119" s="3644"/>
      <c r="H119" s="3642" t="str">
        <f ca="1">NUMBERSTRING(INT(H118*10000),2)&amp;"元整"</f>
        <v>贰佰壹拾万元整</v>
      </c>
      <c r="I119" s="3644"/>
    </row>
    <row r="120" spans="1:27" ht="18.75" customHeight="1">
      <c r="A120" s="3666" t="str">
        <f>IF(项目基本情况!B9="房地产市场价值","",MID(E103,3,LEN(E103)-2))</f>
        <v>估价师知悉的法定优先受偿款</v>
      </c>
      <c r="B120" s="3667"/>
      <c r="C120" s="3668"/>
      <c r="D120" s="3666">
        <f>H103</f>
        <v>0</v>
      </c>
      <c r="E120" s="3667"/>
      <c r="F120" s="3667"/>
      <c r="G120" s="3667"/>
      <c r="H120" s="3667"/>
      <c r="I120" s="366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2" t="s">
        <v>1449</v>
      </c>
      <c r="B121" s="3643"/>
      <c r="C121" s="3644"/>
      <c r="D121" s="3642" t="str">
        <f>IF(D120=0,"零元整",NUMBERSTRING(INT(D120*10000),2)&amp;"元整")</f>
        <v>零元整</v>
      </c>
      <c r="E121" s="3643"/>
      <c r="F121" s="3643"/>
      <c r="G121" s="3643"/>
      <c r="H121" s="3643"/>
      <c r="I121" s="3644"/>
      <c r="AA121" s="725"/>
    </row>
    <row r="122" spans="1:27" ht="18.75" customHeight="1">
      <c r="A122" s="3633" t="str">
        <f>IF(项目基本情况!B9="房地产市场价值","",MID(E107,3,LEN(E107)-2))</f>
        <v>房地产抵押价值</v>
      </c>
      <c r="B122" s="3633"/>
      <c r="C122" s="3633"/>
      <c r="D122" s="3666">
        <f ca="1">H107</f>
        <v>210</v>
      </c>
      <c r="E122" s="3667"/>
      <c r="F122" s="3667"/>
      <c r="G122" s="3667"/>
      <c r="H122" s="3667"/>
      <c r="I122" s="3668"/>
      <c r="AA122" s="725"/>
    </row>
    <row r="123" spans="1:27" ht="18.75" customHeight="1">
      <c r="A123" s="3602" t="s">
        <v>1449</v>
      </c>
      <c r="B123" s="3602"/>
      <c r="C123" s="3602"/>
      <c r="D123" s="3642" t="str">
        <f ca="1">NUMBERSTRING(INT(D122*10000),2)&amp;"元整"</f>
        <v>贰佰壹拾万元整</v>
      </c>
      <c r="E123" s="3643"/>
      <c r="F123" s="3643"/>
      <c r="G123" s="3643"/>
      <c r="H123" s="3643"/>
      <c r="I123" s="3644"/>
      <c r="AA123" s="725"/>
    </row>
    <row r="124" spans="1:27" ht="18.75" customHeight="1">
      <c r="A124" s="3633" t="str">
        <f>IF(项目基本情况!B9="房地产市场价值","",MID(E109,3,LEN(E109)-2))</f>
        <v/>
      </c>
      <c r="B124" s="3633"/>
      <c r="C124" s="3633"/>
      <c r="D124" s="3666" t="str">
        <f>H109</f>
        <v>——</v>
      </c>
      <c r="E124" s="3667"/>
      <c r="F124" s="3667"/>
      <c r="G124" s="3667"/>
      <c r="H124" s="3667"/>
      <c r="I124" s="3668"/>
      <c r="AA124" s="725"/>
    </row>
    <row r="125" spans="1:27" ht="18.75" customHeight="1">
      <c r="A125" s="3602" t="s">
        <v>1449</v>
      </c>
      <c r="B125" s="3602"/>
      <c r="C125" s="3602"/>
      <c r="D125" s="3642" t="e">
        <f>NUMBERSTRING(INT(D124*10000),2)&amp;"元整"</f>
        <v>#VALUE!</v>
      </c>
      <c r="E125" s="3643"/>
      <c r="F125" s="3643"/>
      <c r="G125" s="3643"/>
      <c r="H125" s="3643"/>
      <c r="I125" s="3644"/>
      <c r="AA125" s="725"/>
    </row>
    <row r="126" spans="1:27" ht="18.75" customHeight="1">
      <c r="A126" s="3633" t="str">
        <f>IF(项目基本情况!B9="房地产市场价值","",MID(E111,3,LEN(E111)-2))</f>
        <v>抵押净值</v>
      </c>
      <c r="B126" s="3633"/>
      <c r="C126" s="3633"/>
      <c r="D126" s="3666">
        <f ca="1">H111</f>
        <v>210</v>
      </c>
      <c r="E126" s="3667"/>
      <c r="F126" s="3667"/>
      <c r="G126" s="3667"/>
      <c r="H126" s="3667"/>
      <c r="I126" s="3668"/>
      <c r="AA126" s="725"/>
    </row>
    <row r="127" spans="1:27" ht="18.75" customHeight="1">
      <c r="A127" s="3602" t="s">
        <v>1449</v>
      </c>
      <c r="B127" s="3602"/>
      <c r="C127" s="3602"/>
      <c r="D127" s="3642" t="str">
        <f ca="1">NUMBERSTRING(INT(D126*10000),2)&amp;"元整"</f>
        <v>贰佰壹拾万元整</v>
      </c>
      <c r="E127" s="3643"/>
      <c r="F127" s="3643"/>
      <c r="G127" s="3643"/>
      <c r="H127" s="3643"/>
      <c r="I127" s="3644"/>
      <c r="AA127" s="725"/>
    </row>
    <row r="128" spans="1:27" ht="21.75" customHeight="1">
      <c r="A128" s="3649" t="s">
        <v>1450</v>
      </c>
      <c r="B128" s="3649"/>
      <c r="C128" s="3649"/>
      <c r="D128" s="3649"/>
      <c r="E128" s="3649"/>
      <c r="F128" s="3649"/>
      <c r="G128" s="3649"/>
      <c r="H128" s="3649"/>
      <c r="I128" s="3649"/>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51" priority="21" stopIfTrue="1" operator="equal">
      <formula>25</formula>
    </cfRule>
  </conditionalFormatting>
  <conditionalFormatting sqref="C8:C9">
    <cfRule type="cellIs" dxfId="250" priority="19" stopIfTrue="1" operator="equal">
      <formula>15</formula>
    </cfRule>
  </conditionalFormatting>
  <conditionalFormatting sqref="C14:C16">
    <cfRule type="cellIs" dxfId="249" priority="13" stopIfTrue="1" operator="equal">
      <formula>30</formula>
    </cfRule>
  </conditionalFormatting>
  <conditionalFormatting sqref="D5:D7">
    <cfRule type="cellIs" dxfId="248" priority="10" stopIfTrue="1" operator="equal">
      <formula>25</formula>
    </cfRule>
  </conditionalFormatting>
  <conditionalFormatting sqref="D8:D9">
    <cfRule type="cellIs" dxfId="247" priority="9" stopIfTrue="1" operator="equal">
      <formula>15</formula>
    </cfRule>
  </conditionalFormatting>
  <conditionalFormatting sqref="C10:D13">
    <cfRule type="cellIs" dxfId="246" priority="8" stopIfTrue="1" operator="equal">
      <formula>15</formula>
    </cfRule>
  </conditionalFormatting>
  <conditionalFormatting sqref="D14:D16">
    <cfRule type="cellIs" dxfId="245" priority="6" stopIfTrue="1" operator="equal">
      <formula>30</formula>
    </cfRule>
  </conditionalFormatting>
  <conditionalFormatting sqref="C90">
    <cfRule type="expression" dxfId="244" priority="3" stopIfTrue="1">
      <formula>$H$88&lt;&gt;"仅含出让金"</formula>
    </cfRule>
  </conditionalFormatting>
  <conditionalFormatting sqref="C91">
    <cfRule type="expression" dxfId="243" priority="2" stopIfTrue="1">
      <formula>$H$91="由企业提供"</formula>
    </cfRule>
  </conditionalFormatting>
  <conditionalFormatting sqref="E36">
    <cfRule type="expression" dxfId="24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8</v>
      </c>
    </row>
    <row r="2" spans="1:9" s="200" customFormat="1" ht="18" customHeight="1">
      <c r="A2" s="201" t="s">
        <v>1459</v>
      </c>
      <c r="B2" s="202">
        <f ca="1">IF(D2="——",C52,C52-E2)</f>
        <v>68</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4889</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8" t="s">
        <v>1469</v>
      </c>
      <c r="B6" s="215" t="s">
        <v>1470</v>
      </c>
      <c r="C6" s="216"/>
      <c r="D6" s="217"/>
      <c r="E6" s="218"/>
      <c r="F6" s="218"/>
      <c r="G6" s="219"/>
    </row>
    <row r="7" spans="1:9" s="214" customFormat="1" ht="13.5" customHeight="1">
      <c r="A7" s="778" t="s">
        <v>1471</v>
      </c>
      <c r="B7" s="215" t="s">
        <v>1472</v>
      </c>
      <c r="C7" s="220">
        <f>ROUND(C6*F7,0)</f>
        <v>0</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0</v>
      </c>
      <c r="D8" s="222"/>
      <c r="E8" s="220"/>
      <c r="F8" s="221"/>
      <c r="G8" s="1856"/>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7"/>
      <c r="H9" s="1137"/>
      <c r="I9" s="1858" t="s">
        <v>1476</v>
      </c>
    </row>
    <row r="10" spans="1:9" s="214" customFormat="1" ht="13.5" customHeight="1">
      <c r="A10" s="779" t="s">
        <v>356</v>
      </c>
      <c r="B10" s="224" t="s">
        <v>1477</v>
      </c>
      <c r="C10" s="225">
        <f ca="1">ROUND(D10*E10/10000,0)</f>
        <v>0</v>
      </c>
      <c r="D10" s="845">
        <f ca="1">IF(B1="",'数据-汇总表'!E6,IF(INDIRECT("'数据-取费表'!c"&amp;$G$1)="住宅",INDIRECT("'数据-取费表'!s"&amp;$G$1),INDIRECT("'数据-取费表'!k"&amp;$G$1)+INDIRECT("'数据-取费表'!s"&amp;$G$1)))</f>
        <v>139.07999999999998</v>
      </c>
      <c r="E10" s="225">
        <f>'数据-取费表'!B28</f>
        <v>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f ca="1">IF(G19="已包含在土地取得成本中","0",ROUND(D19*E19/10000,0))</f>
        <v>3</v>
      </c>
      <c r="D19" s="849">
        <f ca="1">D9+D10</f>
        <v>139.07999999999998</v>
      </c>
      <c r="E19" s="211">
        <f>'数据-取费表'!B31</f>
        <v>200</v>
      </c>
      <c r="F19" s="231"/>
      <c r="G19" s="1856"/>
    </row>
    <row r="20" spans="1:7" s="214" customFormat="1" ht="13.5" customHeight="1">
      <c r="A20" s="255" t="s">
        <v>1490</v>
      </c>
      <c r="B20" s="210" t="s">
        <v>1491</v>
      </c>
      <c r="C20" s="232">
        <f ca="1">ROUND((C5+C19)*F20,0)</f>
        <v>0</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0</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0</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0</v>
      </c>
      <c r="D25" s="238"/>
      <c r="E25" s="241"/>
      <c r="F25" s="239"/>
      <c r="G25" s="242" t="s">
        <v>1507</v>
      </c>
    </row>
    <row r="26" spans="1:7" s="214" customFormat="1">
      <c r="A26" s="780"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0</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ROUND((C5+C19+C20)*F27*'数据-取费表'!B21/'数据-取费表'!B20,0)</f>
        <v>0</v>
      </c>
      <c r="D28" s="235"/>
      <c r="E28" s="236"/>
      <c r="F28" s="246"/>
      <c r="G28" s="247"/>
    </row>
    <row r="29" spans="1:7" s="214" customFormat="1" ht="13.5" customHeight="1">
      <c r="A29" s="780" t="s">
        <v>347</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3</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61</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55</v>
      </c>
      <c r="D34" s="217"/>
      <c r="E34" s="220"/>
      <c r="F34" s="257">
        <f ca="1">IF('数据-取费表'!B24=0,1,IF(B1="",'数据-取费表'!N16,INDIRECT("'数据-取费表'!n"&amp;$G$1)))</f>
        <v>1</v>
      </c>
      <c r="G34" s="219" t="s">
        <v>1523</v>
      </c>
    </row>
    <row r="35" spans="1:7" ht="13.5" customHeight="1">
      <c r="A35" s="780" t="s">
        <v>351</v>
      </c>
      <c r="B35" s="215" t="s">
        <v>1524</v>
      </c>
      <c r="C35" s="220">
        <f ca="1">ROUND(C34*F35,0)</f>
        <v>2</v>
      </c>
      <c r="D35" s="220"/>
      <c r="E35" s="220"/>
      <c r="F35" s="259">
        <f>'数据-取费表'!B33</f>
        <v>0.03</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3</v>
      </c>
      <c r="D37" s="217">
        <f ca="1">D19</f>
        <v>139.07999999999998</v>
      </c>
      <c r="E37" s="249">
        <f>'数据-取费表'!B35</f>
        <v>200</v>
      </c>
      <c r="F37" s="259"/>
      <c r="G37" s="261" t="s">
        <v>1529</v>
      </c>
    </row>
    <row r="38" spans="1:7" ht="13.5" customHeight="1">
      <c r="A38" s="780" t="s">
        <v>354</v>
      </c>
      <c r="B38" s="215" t="s">
        <v>1530</v>
      </c>
      <c r="C38" s="220">
        <f ca="1">ROUND(C34*F38,0)</f>
        <v>1</v>
      </c>
      <c r="D38" s="220"/>
      <c r="E38" s="220"/>
      <c r="F38" s="259">
        <f>'数据-取费表'!B36</f>
        <v>0.02</v>
      </c>
      <c r="G38" s="219" t="s">
        <v>1525</v>
      </c>
    </row>
    <row r="39" spans="1:7" s="214" customFormat="1" ht="13.5" customHeight="1">
      <c r="A39" s="255" t="s">
        <v>1531</v>
      </c>
      <c r="B39" s="210" t="s">
        <v>1532</v>
      </c>
      <c r="C39" s="232">
        <f ca="1">ROUND(C33*F20,0)</f>
        <v>1</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2</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2</v>
      </c>
      <c r="D42" s="238"/>
      <c r="E42" s="238"/>
      <c r="F42" s="239"/>
      <c r="G42" s="3682" t="s">
        <v>1541</v>
      </c>
    </row>
    <row r="43" spans="1:7" ht="13.5" customHeight="1">
      <c r="A43" s="780" t="s">
        <v>347</v>
      </c>
      <c r="B43" s="215" t="s">
        <v>1542</v>
      </c>
      <c r="C43" s="238">
        <f ca="1">ROUND(IF('数据-取费表'!B22&lt;=1,C39*F22*'数据-取费表'!B21/2,C39*(POWER((1+F22),'数据-取费表'!B21/2)-1)),0)</f>
        <v>0</v>
      </c>
      <c r="D43" s="238"/>
      <c r="E43" s="238"/>
      <c r="F43" s="239"/>
      <c r="G43" s="3683"/>
    </row>
    <row r="44" spans="1:7" ht="13.5" customHeight="1">
      <c r="A44" s="780" t="s">
        <v>348</v>
      </c>
      <c r="B44" s="215" t="s">
        <v>1543</v>
      </c>
      <c r="C44" s="238">
        <f ca="1">ROUND(IF('数据-取费表'!B22&lt;=1,C40*F22*'数据-取费表'!B21/2,C40*(POWER((1+F22),'数据-取费表'!B21/2)-1)),4)</f>
        <v>6.9999999999999999E-4</v>
      </c>
      <c r="D44" s="238"/>
      <c r="E44" s="238"/>
      <c r="F44" s="239"/>
      <c r="G44" s="3684"/>
    </row>
    <row r="45" spans="1:7" s="214" customFormat="1" ht="13.5" customHeight="1">
      <c r="A45" s="255" t="s">
        <v>1544</v>
      </c>
      <c r="B45" s="244" t="s">
        <v>1510</v>
      </c>
      <c r="C45" s="245">
        <f ca="1">C46</f>
        <v>9</v>
      </c>
      <c r="D45" s="235">
        <f ca="1">C47</f>
        <v>3.0000000000000001E-3</v>
      </c>
      <c r="E45" s="236" t="s">
        <v>1536</v>
      </c>
      <c r="F45" s="246">
        <f ca="1">F27</f>
        <v>0.15</v>
      </c>
      <c r="G45" s="247" t="s">
        <v>1545</v>
      </c>
    </row>
    <row r="46" spans="1:7" s="214" customFormat="1" ht="13.5" customHeight="1">
      <c r="A46" s="780" t="s">
        <v>346</v>
      </c>
      <c r="B46" s="248" t="s">
        <v>1546</v>
      </c>
      <c r="C46" s="249">
        <f ca="1">ROUND((C33+C39)*F27,0)</f>
        <v>9</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1327">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79</v>
      </c>
      <c r="D49" s="232"/>
      <c r="E49" s="232"/>
      <c r="F49" s="264"/>
      <c r="G49" s="234" t="s">
        <v>1551</v>
      </c>
    </row>
    <row r="50" spans="1:7" s="258" customFormat="1" ht="24">
      <c r="A50" s="255" t="s">
        <v>1552</v>
      </c>
      <c r="B50" s="210" t="s">
        <v>1553</v>
      </c>
      <c r="C50" s="232"/>
      <c r="D50" s="232"/>
      <c r="E50" s="232"/>
      <c r="F50" s="264">
        <f>IF('数据-取费表'!B24=0,'数据-取费表'!N16,1)</f>
        <v>0.82</v>
      </c>
      <c r="G50" s="247" t="s">
        <v>1554</v>
      </c>
    </row>
    <row r="51" spans="1:7" ht="16.5" customHeight="1">
      <c r="A51" s="255" t="s">
        <v>1555</v>
      </c>
      <c r="B51" s="210" t="s">
        <v>1556</v>
      </c>
      <c r="C51" s="232">
        <f ca="1">ROUND(C49*F50,0)</f>
        <v>65</v>
      </c>
      <c r="D51" s="232"/>
      <c r="E51" s="232"/>
      <c r="F51" s="264"/>
      <c r="G51" s="234" t="s">
        <v>1557</v>
      </c>
    </row>
    <row r="52" spans="1:7" s="208" customFormat="1" ht="16.5" thickBot="1">
      <c r="A52" s="265" t="s">
        <v>1558</v>
      </c>
      <c r="B52" s="266"/>
      <c r="C52" s="267">
        <f ca="1">C31+C51</f>
        <v>68</v>
      </c>
      <c r="D52" s="266"/>
      <c r="E52" s="266"/>
      <c r="F52" s="266"/>
      <c r="G52" s="268"/>
    </row>
    <row r="55" spans="1:7" ht="15">
      <c r="B55" s="270" t="s">
        <v>1559</v>
      </c>
      <c r="C55" s="271"/>
    </row>
    <row r="56" spans="1:7">
      <c r="B56" s="273" t="s">
        <v>800</v>
      </c>
      <c r="C56" s="275">
        <f ca="1">1-C57</f>
        <v>4.4000000000000039E-2</v>
      </c>
    </row>
    <row r="57" spans="1:7">
      <c r="B57" s="273" t="s">
        <v>801</v>
      </c>
      <c r="C57" s="274">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9" t="str">
        <f>项目基本情况!B1</f>
        <v>北京市丰台区广安路9号院1号楼4层413房地产抵押价值预评估</v>
      </c>
      <c r="C37" s="3499"/>
      <c r="D37" s="3499"/>
      <c r="E37" s="3499"/>
      <c r="F37" s="3499"/>
      <c r="G37" s="3499"/>
      <c r="H37" s="3499"/>
      <c r="I37" s="349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8</v>
      </c>
      <c r="H1" s="1061" t="str">
        <f>IF(ISERROR(FIND("住宅",B1)),"非住宅","住宅")</f>
        <v>非住宅</v>
      </c>
    </row>
    <row r="2" spans="1:8" s="200" customFormat="1" ht="18" customHeight="1">
      <c r="A2" s="201" t="s">
        <v>1459</v>
      </c>
      <c r="B2" s="3423">
        <f ca="1">ROUND(IF(D2="——",C52/10000,C52/10000-E2),4)</f>
        <v>69.433300000000003</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4992</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0</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0</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0</v>
      </c>
      <c r="D10" s="845">
        <f ca="1">IF(B1="",'数据-汇总表'!E6,IF(INDIRECT("'数据-取费表'!c"&amp;$G$1)="住宅",INDIRECT("'数据-取费表'!s"&amp;$G$1),INDIRECT("'数据-取费表'!k"&amp;$G$1)+INDIRECT("'数据-取费表'!s"&amp;$G$1)))</f>
        <v>139.07999999999998</v>
      </c>
      <c r="E10" s="225">
        <f>'数据-取费表'!B28</f>
        <v>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27816</v>
      </c>
      <c r="D19" s="849">
        <f ca="1">D9+D10</f>
        <v>139.07999999999998</v>
      </c>
      <c r="E19" s="211">
        <f>'数据-取费表'!B31</f>
        <v>200</v>
      </c>
      <c r="F19" s="231"/>
      <c r="G19" s="1856"/>
    </row>
    <row r="20" spans="1:7" s="214" customFormat="1" ht="13.5" customHeight="1">
      <c r="A20" s="255" t="s">
        <v>1571</v>
      </c>
      <c r="B20" s="210" t="s">
        <v>1572</v>
      </c>
      <c r="C20" s="232">
        <f ca="1">ROUND((C5+C19)*F20,0)</f>
        <v>556</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1971</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0</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1952</v>
      </c>
      <c r="D24" s="238"/>
      <c r="E24" s="238"/>
      <c r="F24" s="239"/>
      <c r="G24" s="240" t="s">
        <v>1583</v>
      </c>
    </row>
    <row r="25" spans="1:7" s="214" customFormat="1" ht="24">
      <c r="A25" s="780" t="s">
        <v>1473</v>
      </c>
      <c r="B25" s="215" t="s">
        <v>1584</v>
      </c>
      <c r="C25" s="1128">
        <f ca="1">ROUND(IF('数据-取费表'!B22&lt;=1,C20*F22*'数据-取费表'!B22/2,C20*(POWER((1+F22),'数据-取费表'!B22/2)-1)),0)</f>
        <v>19</v>
      </c>
      <c r="D25" s="238"/>
      <c r="E25" s="241"/>
      <c r="F25" s="239"/>
      <c r="G25" s="242" t="s">
        <v>1585</v>
      </c>
    </row>
    <row r="26" spans="1:7" s="214" customFormat="1">
      <c r="A26" s="780"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4256</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ROUND((C5+C19+C20)*F27,0)</f>
        <v>4256</v>
      </c>
      <c r="D28" s="235"/>
      <c r="E28" s="236"/>
      <c r="F28" s="246"/>
      <c r="G28" s="247"/>
    </row>
    <row r="29" spans="1:7" s="214" customFormat="1" ht="13.5" customHeight="1">
      <c r="A29" s="780"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37485</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611952</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556320</v>
      </c>
      <c r="D34" s="217"/>
      <c r="E34" s="220"/>
      <c r="F34" s="257"/>
      <c r="G34" s="219"/>
    </row>
    <row r="35" spans="1:7" ht="13.5" customHeight="1">
      <c r="A35" s="780" t="s">
        <v>351</v>
      </c>
      <c r="B35" s="215" t="s">
        <v>1524</v>
      </c>
      <c r="C35" s="220">
        <f ca="1">ROUND(C34*F35,0)</f>
        <v>16690</v>
      </c>
      <c r="D35" s="220"/>
      <c r="E35" s="220"/>
      <c r="F35" s="259">
        <f>'数据-取费表'!B33</f>
        <v>0.03</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27816</v>
      </c>
      <c r="D37" s="217">
        <f ca="1">D19</f>
        <v>139.07999999999998</v>
      </c>
      <c r="E37" s="249">
        <f>'数据-取费表'!B35</f>
        <v>200</v>
      </c>
      <c r="F37" s="259"/>
      <c r="G37" s="261"/>
    </row>
    <row r="38" spans="1:7" ht="13.5" customHeight="1">
      <c r="A38" s="780" t="s">
        <v>354</v>
      </c>
      <c r="B38" s="215" t="s">
        <v>1530</v>
      </c>
      <c r="C38" s="220">
        <f ca="1">ROUND(C34*F38,0)</f>
        <v>11126</v>
      </c>
      <c r="D38" s="220"/>
      <c r="E38" s="220"/>
      <c r="F38" s="259">
        <f>'数据-取费表'!B36</f>
        <v>0.02</v>
      </c>
      <c r="G38" s="219" t="s">
        <v>1525</v>
      </c>
    </row>
    <row r="39" spans="1:7" s="214" customFormat="1" ht="13.5" customHeight="1">
      <c r="A39" s="255" t="s">
        <v>1531</v>
      </c>
      <c r="B39" s="210" t="s">
        <v>1532</v>
      </c>
      <c r="C39" s="232">
        <f ca="1">ROUND(C33*F20,0)</f>
        <v>12239</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21534</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21112</v>
      </c>
      <c r="D42" s="238"/>
      <c r="E42" s="238"/>
      <c r="F42" s="239"/>
      <c r="G42" s="3682" t="s">
        <v>1588</v>
      </c>
    </row>
    <row r="43" spans="1:7" ht="13.5" customHeight="1">
      <c r="A43" s="780" t="s">
        <v>347</v>
      </c>
      <c r="B43" s="215" t="s">
        <v>1542</v>
      </c>
      <c r="C43" s="238">
        <f ca="1">ROUND(IF('数据-取费表'!B22&lt;=1,C39*F22*'数据-取费表'!B20/2,C39*(POWER((1+F22),'数据-取费表'!B20/2)-1)),0)</f>
        <v>422</v>
      </c>
      <c r="D43" s="238"/>
      <c r="E43" s="238"/>
      <c r="F43" s="239"/>
      <c r="G43" s="3683"/>
    </row>
    <row r="44" spans="1:7" ht="13.5" customHeight="1">
      <c r="A44" s="780" t="s">
        <v>348</v>
      </c>
      <c r="B44" s="215" t="s">
        <v>1543</v>
      </c>
      <c r="C44" s="238">
        <f ca="1">ROUND(IF('数据-取费表'!B22&lt;=1,C40*F22*'数据-取费表'!B20/2,C40*(POWER((1+F22),'数据-取费表'!B20/2)-1)),4)</f>
        <v>6.9999999999999999E-4</v>
      </c>
      <c r="D44" s="238"/>
      <c r="E44" s="238"/>
      <c r="F44" s="239"/>
      <c r="G44" s="3684"/>
    </row>
    <row r="45" spans="1:7" s="214" customFormat="1" ht="13.5" customHeight="1">
      <c r="A45" s="255" t="s">
        <v>1544</v>
      </c>
      <c r="B45" s="244" t="s">
        <v>1510</v>
      </c>
      <c r="C45" s="245">
        <f ca="1">C46</f>
        <v>93629</v>
      </c>
      <c r="D45" s="235">
        <f ca="1">C47</f>
        <v>3.0000000000000001E-3</v>
      </c>
      <c r="E45" s="236" t="s">
        <v>1536</v>
      </c>
      <c r="F45" s="246">
        <f ca="1">F27</f>
        <v>0.15</v>
      </c>
      <c r="G45" s="247" t="s">
        <v>1545</v>
      </c>
    </row>
    <row r="46" spans="1:7" s="214" customFormat="1" ht="13.5" customHeight="1">
      <c r="A46" s="780" t="s">
        <v>346</v>
      </c>
      <c r="B46" s="248" t="s">
        <v>1546</v>
      </c>
      <c r="C46" s="249">
        <f ca="1">ROUND((C33+C39)*F27,0)</f>
        <v>93629</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801034</v>
      </c>
      <c r="D49" s="232"/>
      <c r="E49" s="232"/>
      <c r="F49" s="264"/>
      <c r="G49" s="234" t="s">
        <v>1551</v>
      </c>
    </row>
    <row r="50" spans="1:7" s="258" customFormat="1">
      <c r="A50" s="255" t="s">
        <v>1552</v>
      </c>
      <c r="B50" s="210" t="s">
        <v>1553</v>
      </c>
      <c r="C50" s="232"/>
      <c r="D50" s="232"/>
      <c r="E50" s="232"/>
      <c r="F50" s="264">
        <f>IF('数据-取费表'!B24=0,'数据-取费表'!N16,1)</f>
        <v>0.82</v>
      </c>
      <c r="G50" s="247"/>
    </row>
    <row r="51" spans="1:7" ht="16.5" customHeight="1">
      <c r="A51" s="255" t="s">
        <v>1555</v>
      </c>
      <c r="B51" s="210" t="s">
        <v>1590</v>
      </c>
      <c r="C51" s="232">
        <f ca="1">ROUND(C49*F50,0)</f>
        <v>656848</v>
      </c>
      <c r="D51" s="232"/>
      <c r="E51" s="232"/>
      <c r="F51" s="264"/>
      <c r="G51" s="234" t="s">
        <v>1557</v>
      </c>
    </row>
    <row r="52" spans="1:7" s="208" customFormat="1" ht="16.5" thickBot="1">
      <c r="A52" s="265" t="s">
        <v>1558</v>
      </c>
      <c r="B52" s="266"/>
      <c r="C52" s="267">
        <f ca="1">C31+C51</f>
        <v>694333</v>
      </c>
      <c r="D52" s="266"/>
      <c r="E52" s="266"/>
      <c r="F52" s="266"/>
      <c r="G52" s="268"/>
    </row>
    <row r="55" spans="1:7" ht="15">
      <c r="B55" s="270" t="s">
        <v>1559</v>
      </c>
      <c r="C55" s="271"/>
    </row>
    <row r="56" spans="1:7">
      <c r="B56" s="273" t="s">
        <v>800</v>
      </c>
      <c r="C56" s="275">
        <f ca="1">1-C57</f>
        <v>5.4000000000000048E-2</v>
      </c>
    </row>
    <row r="57" spans="1:7">
      <c r="B57" s="273" t="s">
        <v>801</v>
      </c>
      <c r="C57" s="274">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5"/>
      <c r="F1" s="2805"/>
      <c r="G1" s="2670"/>
      <c r="H1" s="2805"/>
      <c r="I1" s="2805"/>
      <c r="J1" s="2805"/>
      <c r="K1" s="2806">
        <f>MATCH(C1,'数据-取费表'!A6:A16,0)+5</f>
        <v>8</v>
      </c>
    </row>
    <row r="2" spans="1:33" ht="18" customHeight="1">
      <c r="A2" s="201" t="s">
        <v>1459</v>
      </c>
      <c r="B2" s="204">
        <f ca="1">C32</f>
        <v>0</v>
      </c>
      <c r="C2" s="276" t="s">
        <v>1592</v>
      </c>
      <c r="D2" s="276"/>
      <c r="E2" s="2805"/>
      <c r="F2" s="2805"/>
      <c r="G2" s="2805"/>
      <c r="H2" s="2805"/>
      <c r="I2" s="2805"/>
      <c r="J2" s="2805"/>
      <c r="K2" s="2805"/>
    </row>
    <row r="3" spans="1:33" ht="18" customHeight="1" thickBot="1">
      <c r="A3" s="203" t="s">
        <v>1461</v>
      </c>
      <c r="B3" s="204">
        <f ca="1">ROUND(B2*10000/IF(C1="",'数据-汇总表'!E3,INDIRECT("'数据-取费表'!K"&amp;$K$1)),0)</f>
        <v>0</v>
      </c>
      <c r="C3" s="276" t="s">
        <v>1593</v>
      </c>
      <c r="D3" s="276"/>
      <c r="E3" s="2805"/>
      <c r="F3" s="2805"/>
      <c r="G3" s="2805"/>
      <c r="H3" s="2805"/>
      <c r="I3" s="2805"/>
      <c r="J3" s="2805"/>
      <c r="K3" s="2805"/>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634</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635</v>
      </c>
      <c r="B12" s="801" t="s">
        <v>1610</v>
      </c>
      <c r="C12" s="21">
        <f ca="1">ROUND(C11*F12,0)</f>
        <v>0</v>
      </c>
      <c r="D12" s="802"/>
      <c r="E12" s="329"/>
      <c r="F12" s="812">
        <f>'数据-取费表'!B33</f>
        <v>0.03</v>
      </c>
      <c r="G12" s="5" t="s">
        <v>1611</v>
      </c>
      <c r="H12" s="797"/>
      <c r="I12" s="797"/>
      <c r="J12" s="797"/>
      <c r="K12" s="798"/>
    </row>
    <row r="13" spans="1:33" s="803" customFormat="1" ht="13.5" customHeight="1">
      <c r="A13" s="800" t="s">
        <v>636</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637</v>
      </c>
      <c r="B14" s="801" t="s">
        <v>1614</v>
      </c>
      <c r="C14" s="21">
        <f ca="1">ROUND(D14*E14*F11/10000,0)</f>
        <v>0</v>
      </c>
      <c r="D14" s="846">
        <f ca="1">IF(C1="",'数据-汇总表'!E3,INDIRECT("'数据-取费表'!K"&amp;$K$1)+INDIRECT("'数据-取费表'!S"&amp;$K$1))</f>
        <v>139.07999999999998</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638</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139.07999999999998</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639</v>
      </c>
      <c r="B18" s="801" t="s">
        <v>1621</v>
      </c>
      <c r="C18" s="21">
        <f ca="1">C19+C20-IF(C1="",'数据-取费表'!B29,IF(G18="已全部缴纳",C19+C20,H18))</f>
        <v>0</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1624</v>
      </c>
      <c r="C20" s="21">
        <f ca="1">ROUND(D20*E20/10000,0)</f>
        <v>0</v>
      </c>
      <c r="D20" s="846">
        <f ca="1">IF(C1="",'数据-汇总表'!E6,IF(INDIRECT("'数据-取费表'!c"&amp;$K$1)="住宅",INDIRECT("'数据-取费表'!s"&amp;$K$1),INDIRECT("'数据-取费表'!k"&amp;$K$1)+INDIRECT("'数据-取费表'!s"&amp;$K$1)))</f>
        <v>139.07999999999998</v>
      </c>
      <c r="E20" s="21">
        <f>'数据-取费表'!B28</f>
        <v>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5.6000000000000001E-2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c r="D1" s="1362" t="s">
        <v>43</v>
      </c>
      <c r="E1" s="1363" t="s">
        <v>676</v>
      </c>
      <c r="F1" s="1062">
        <f ca="1">J53</f>
        <v>0</v>
      </c>
      <c r="G1" s="1378">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1386" t="e">
        <f ca="1">C40+J29+L46</f>
        <v>#DIV/0!</v>
      </c>
      <c r="C2" s="1387" t="s">
        <v>803</v>
      </c>
      <c r="D2" s="1387"/>
      <c r="E2" s="1388"/>
      <c r="F2" s="1389"/>
      <c r="G2" s="2705"/>
      <c r="H2" s="2694"/>
      <c r="I2" s="2694"/>
      <c r="J2" s="2694"/>
      <c r="K2" s="2695"/>
      <c r="L2" s="2694"/>
      <c r="M2" s="2694"/>
    </row>
    <row r="3" spans="1:37" ht="18" customHeight="1" thickBot="1">
      <c r="A3" s="1390" t="s">
        <v>804</v>
      </c>
      <c r="B3" s="1391">
        <f ca="1">IF(ISERROR(B2*10000/F43),0,ROUND(B2*10000/F43,0))</f>
        <v>0</v>
      </c>
      <c r="C3" s="1387" t="s">
        <v>805</v>
      </c>
      <c r="D3" s="1387"/>
      <c r="E3" s="1388"/>
      <c r="F3" s="1389"/>
      <c r="G3" s="2705"/>
      <c r="H3" s="683" t="s">
        <v>874</v>
      </c>
      <c r="I3" s="1382"/>
      <c r="J3" s="1382"/>
      <c r="K3" s="1383"/>
      <c r="L3" s="1382"/>
      <c r="M3" s="1382"/>
    </row>
    <row r="4" spans="1:37" ht="18" customHeight="1">
      <c r="A4" s="295" t="s">
        <v>685</v>
      </c>
      <c r="B4" s="296" t="s">
        <v>686</v>
      </c>
      <c r="C4" s="296" t="s">
        <v>687</v>
      </c>
      <c r="D4" s="296" t="s">
        <v>688</v>
      </c>
      <c r="E4" s="297" t="s">
        <v>689</v>
      </c>
      <c r="F4" s="298"/>
      <c r="G4" s="1384"/>
      <c r="H4" s="295" t="s">
        <v>685</v>
      </c>
      <c r="I4" s="296" t="s">
        <v>686</v>
      </c>
      <c r="J4" s="296" t="s">
        <v>687</v>
      </c>
      <c r="K4" s="296" t="s">
        <v>688</v>
      </c>
      <c r="L4" s="297" t="s">
        <v>689</v>
      </c>
      <c r="M4" s="298"/>
    </row>
    <row r="5" spans="1:37" ht="18" customHeight="1">
      <c r="A5" s="299">
        <v>1</v>
      </c>
      <c r="B5" s="300" t="s">
        <v>690</v>
      </c>
      <c r="C5" s="1070">
        <f ca="1">C6+C10+C12</f>
        <v>0</v>
      </c>
      <c r="D5" s="1364" t="s">
        <v>691</v>
      </c>
      <c r="E5" s="1071"/>
      <c r="F5" s="1072"/>
      <c r="G5" s="1384"/>
      <c r="H5" s="299">
        <v>1</v>
      </c>
      <c r="I5" s="300" t="s">
        <v>690</v>
      </c>
      <c r="J5" s="1070">
        <f ca="1">J6+J10+J12</f>
        <v>0</v>
      </c>
      <c r="K5" s="1364" t="s">
        <v>691</v>
      </c>
      <c r="L5" s="1071"/>
      <c r="M5" s="1072"/>
    </row>
    <row r="6" spans="1:37" ht="18" customHeight="1">
      <c r="A6" s="1069" t="s">
        <v>398</v>
      </c>
      <c r="B6" s="3687" t="s">
        <v>692</v>
      </c>
      <c r="C6" s="1074">
        <f ca="1">ROUND(F6*F8*F7*(1-F9)/10000,0)</f>
        <v>0</v>
      </c>
      <c r="D6" s="155" t="s">
        <v>2105</v>
      </c>
      <c r="E6" s="302" t="s">
        <v>694</v>
      </c>
      <c r="F6" s="303">
        <f ca="1">INDIRECT("'数据-取费表'!u"&amp;$G$1)</f>
        <v>0</v>
      </c>
      <c r="G6" s="1384"/>
      <c r="H6" s="1069" t="s">
        <v>398</v>
      </c>
      <c r="I6" s="3687" t="s">
        <v>692</v>
      </c>
      <c r="J6" s="301">
        <f ca="1">ROUND(M6*M8*M7*(1-M9)/10000,0)</f>
        <v>0</v>
      </c>
      <c r="K6" s="155" t="s">
        <v>2104</v>
      </c>
      <c r="L6" s="302" t="s">
        <v>694</v>
      </c>
      <c r="M6" s="303">
        <f ca="1">INDIRECT("'数据-取费表'!z"&amp;$G$1)</f>
        <v>0</v>
      </c>
    </row>
    <row r="7" spans="1:37" ht="18" customHeight="1">
      <c r="A7" s="1073"/>
      <c r="B7" s="3688"/>
      <c r="C7" s="1075"/>
      <c r="D7" s="307"/>
      <c r="E7" s="1076" t="s">
        <v>695</v>
      </c>
      <c r="F7" s="303">
        <f ca="1">IF(INDIRECT("'数据-取费表'!ah"&amp;$G$1)="",INDIRECT("'数据-取费表'!k"&amp;$G$1),INDIRECT("'数据-取费表'!ah"&amp;$G$1))</f>
        <v>0</v>
      </c>
      <c r="G7" s="1384"/>
      <c r="H7" s="304"/>
      <c r="I7" s="3688"/>
      <c r="J7" s="306"/>
      <c r="K7" s="307"/>
      <c r="L7" s="302" t="s">
        <v>695</v>
      </c>
      <c r="M7" s="303">
        <f ca="1">F7</f>
        <v>0</v>
      </c>
    </row>
    <row r="8" spans="1:37" ht="18" customHeight="1">
      <c r="A8" s="304"/>
      <c r="B8" s="3688"/>
      <c r="C8" s="306"/>
      <c r="D8" s="307"/>
      <c r="E8" s="302" t="s">
        <v>696</v>
      </c>
      <c r="F8" s="303">
        <f ca="1">INDIRECT("'数据-取费表'!ai"&amp;$G$1)</f>
        <v>0</v>
      </c>
      <c r="G8" s="1384"/>
      <c r="H8" s="304"/>
      <c r="I8" s="3688"/>
      <c r="J8" s="306"/>
      <c r="K8" s="307"/>
      <c r="L8" s="302" t="s">
        <v>696</v>
      </c>
      <c r="M8" s="303">
        <f ca="1">INDIRECT("'数据-取费表'!ai"&amp;$G$1)</f>
        <v>0</v>
      </c>
    </row>
    <row r="9" spans="1:37" ht="18" customHeight="1">
      <c r="A9" s="304"/>
      <c r="B9" s="3689"/>
      <c r="C9" s="306"/>
      <c r="D9" s="307"/>
      <c r="E9" s="302" t="s">
        <v>697</v>
      </c>
      <c r="F9" s="312">
        <f ca="1">INDIRECT("'数据-取费表'!w"&amp;$G$1)</f>
        <v>0</v>
      </c>
      <c r="G9" s="1384"/>
      <c r="H9" s="304"/>
      <c r="I9" s="3689"/>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2113</v>
      </c>
      <c r="E10" s="313" t="s">
        <v>699</v>
      </c>
      <c r="F10" s="1116"/>
      <c r="G10" s="1384"/>
      <c r="H10" s="1069" t="s">
        <v>402</v>
      </c>
      <c r="I10" s="1365" t="s">
        <v>698</v>
      </c>
      <c r="J10" s="301">
        <f ca="1">ROUND(IF(M10="押一",J6/12*M11,IF(M10="押二",J6/12*2*M11,IF(M10="押三",J6/12*3*M11,J11*M11))),0)</f>
        <v>0</v>
      </c>
      <c r="K10" s="1366" t="s">
        <v>2112</v>
      </c>
      <c r="L10" s="313" t="s">
        <v>699</v>
      </c>
      <c r="M10" s="1116"/>
    </row>
    <row r="11" spans="1:37" ht="18" customHeight="1">
      <c r="A11" s="308"/>
      <c r="B11" s="1367" t="s">
        <v>677</v>
      </c>
      <c r="C11" s="959"/>
      <c r="D11" s="1368"/>
      <c r="E11" s="313" t="s">
        <v>700</v>
      </c>
      <c r="F11" s="314">
        <f ca="1">'数据-取费表'!B39</f>
        <v>1.4999999999999999E-2</v>
      </c>
      <c r="G11" s="1384"/>
      <c r="H11" s="1077"/>
      <c r="I11" s="1367" t="s">
        <v>677</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0</v>
      </c>
      <c r="D13" s="1081" t="s">
        <v>703</v>
      </c>
      <c r="E13" s="1081" t="s">
        <v>704</v>
      </c>
      <c r="F13" s="1082">
        <f ca="1">INDIRECT("'数据-取费表'!y"&amp;$G$1)</f>
        <v>0</v>
      </c>
      <c r="G13" s="1384"/>
      <c r="H13" s="1079">
        <v>2</v>
      </c>
      <c r="I13" s="1080" t="s">
        <v>702</v>
      </c>
      <c r="J13" s="1068">
        <f ca="1">ROUND(J14*J15,0)</f>
        <v>0</v>
      </c>
      <c r="K13" s="1087" t="s">
        <v>703</v>
      </c>
      <c r="L13" s="1392"/>
      <c r="M13" s="1393"/>
    </row>
    <row r="14" spans="1:37" ht="18" customHeight="1">
      <c r="A14" s="982" t="s">
        <v>397</v>
      </c>
      <c r="B14" s="302" t="s">
        <v>705</v>
      </c>
      <c r="C14" s="318">
        <f ca="1">INDIRECT("'数据-取费表'!m"&amp;$G$1)+INDIRECT("'数据-取费表'!t"&amp;$G$1)</f>
        <v>0</v>
      </c>
      <c r="D14" s="1345" t="s">
        <v>706</v>
      </c>
      <c r="E14" s="1342"/>
      <c r="F14" s="319"/>
      <c r="G14" s="1384"/>
      <c r="H14" s="982" t="s">
        <v>398</v>
      </c>
      <c r="I14" s="302" t="s">
        <v>707</v>
      </c>
      <c r="J14" s="21">
        <f ca="1">C29</f>
        <v>0</v>
      </c>
      <c r="K14" s="12"/>
      <c r="L14" s="807"/>
      <c r="M14" s="808"/>
    </row>
    <row r="15" spans="1:37" s="1397" customFormat="1" ht="18" customHeight="1" thickBot="1">
      <c r="A15" s="982" t="s">
        <v>399</v>
      </c>
      <c r="B15" s="302" t="s">
        <v>708</v>
      </c>
      <c r="C15" s="21">
        <f ca="1">ROUND(C14*F15,0)</f>
        <v>0</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ROUND(INDIRECT("'数据-取费表'!m"&amp;$G$1)*F16,0)</f>
        <v>0</v>
      </c>
      <c r="D16" s="302" t="s">
        <v>709</v>
      </c>
      <c r="E16" s="302" t="s">
        <v>710</v>
      </c>
      <c r="F16" s="322">
        <f ca="1">IF(INDIRECT("'数据-取费表'!c"&amp;$G$1)="住宅",'数据-取费表'!B34,0)</f>
        <v>0</v>
      </c>
      <c r="G16" s="1384"/>
      <c r="H16" s="1079" t="s">
        <v>393</v>
      </c>
      <c r="I16" s="1080" t="s">
        <v>712</v>
      </c>
      <c r="J16" s="310">
        <f ca="1">ROUND(J17+J22+J23+J24,0)</f>
        <v>0</v>
      </c>
      <c r="K16" s="1087" t="s">
        <v>713</v>
      </c>
      <c r="L16" s="1088"/>
      <c r="M16" s="1072"/>
    </row>
    <row r="17" spans="1:37" s="1397" customFormat="1" ht="18" customHeight="1">
      <c r="A17" s="982" t="s">
        <v>679</v>
      </c>
      <c r="B17" s="302" t="s">
        <v>714</v>
      </c>
      <c r="C17" s="21">
        <f ca="1">ROUND(F17*(F43+INDIRECT("'数据-取费表'!S"&amp;$G$1))/10000,0)</f>
        <v>0</v>
      </c>
      <c r="D17" s="302" t="s">
        <v>715</v>
      </c>
      <c r="E17" s="302" t="s">
        <v>716</v>
      </c>
      <c r="F17" s="23">
        <f>'数据-取费表'!B35</f>
        <v>200</v>
      </c>
      <c r="G17" s="1396"/>
      <c r="H17" s="982" t="s">
        <v>398</v>
      </c>
      <c r="I17" s="302" t="s">
        <v>717</v>
      </c>
      <c r="J17" s="2316">
        <f ca="1">ROUND(IF(AND(项目基本情况!B11="自然人",项目基本情况!B10="北京市"),J6*M17/(1+'数据-取费表'!C42),J18+J19+J20),2)</f>
        <v>0</v>
      </c>
      <c r="K17" s="1345" t="s">
        <v>718</v>
      </c>
      <c r="L17" s="1344"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0</v>
      </c>
      <c r="D18" s="302" t="s">
        <v>709</v>
      </c>
      <c r="E18" s="302" t="s">
        <v>710</v>
      </c>
      <c r="F18" s="322">
        <f>'数据-取费表'!B36</f>
        <v>0.02</v>
      </c>
      <c r="G18" s="1396"/>
      <c r="H18" s="982" t="s">
        <v>397</v>
      </c>
      <c r="I18" s="302" t="s">
        <v>721</v>
      </c>
      <c r="J18" s="21">
        <f ca="1">ROUND(J6*M18/(1+'数据-取费表'!C42),2)</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0</v>
      </c>
      <c r="D19" s="131" t="s">
        <v>724</v>
      </c>
      <c r="E19" s="1360"/>
      <c r="F19" s="23"/>
      <c r="G19" s="1384"/>
      <c r="H19" s="982" t="s">
        <v>399</v>
      </c>
      <c r="I19" s="302" t="s">
        <v>725</v>
      </c>
      <c r="J19" s="21">
        <f ca="1">IF(K19="按租金收入计税",ROUND(J6*M19/(1+'数据-取费表'!C42),2),ROUND(C29*M19*0.7,2))</f>
        <v>0</v>
      </c>
      <c r="K19" s="1370" t="s">
        <v>3336</v>
      </c>
      <c r="L19" s="302" t="s">
        <v>710</v>
      </c>
      <c r="M19" s="322">
        <f>IF(K19="按租金收入计税",'数据-取费表'!B51,'数据-取费表'!B50)</f>
        <v>0.12</v>
      </c>
    </row>
    <row r="20" spans="1:37" s="1397" customFormat="1" ht="18" customHeight="1">
      <c r="A20" s="982" t="s">
        <v>402</v>
      </c>
      <c r="B20" s="302" t="s">
        <v>726</v>
      </c>
      <c r="C20" s="21">
        <f ca="1">ROUND(C19*F20,0)</f>
        <v>0</v>
      </c>
      <c r="D20" s="323" t="s">
        <v>727</v>
      </c>
      <c r="E20" s="302" t="s">
        <v>710</v>
      </c>
      <c r="F20" s="322">
        <f>'数据-取费表'!B37</f>
        <v>0.02</v>
      </c>
      <c r="G20" s="1396"/>
      <c r="H20" s="982" t="s">
        <v>678</v>
      </c>
      <c r="I20" s="155" t="s">
        <v>728</v>
      </c>
      <c r="J20" s="22">
        <f ca="1">ROUND(M20*M21/10000,2)</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15</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ROUND(J14*M22,2)</f>
        <v>0</v>
      </c>
      <c r="K22" s="1344" t="s">
        <v>737</v>
      </c>
      <c r="L22" s="302" t="s">
        <v>710</v>
      </c>
      <c r="M22" s="328">
        <f ca="1">INDIRECT("'数据-取费表'!Ak"&amp;$G$1)</f>
        <v>0</v>
      </c>
    </row>
    <row r="23" spans="1:37" s="1397" customFormat="1" ht="18" customHeight="1">
      <c r="A23" s="982"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ROUND(J13*M23,2)</f>
        <v>0</v>
      </c>
      <c r="K23" s="1344" t="s">
        <v>741</v>
      </c>
      <c r="L23" s="302" t="s">
        <v>742</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6"/>
      <c r="H24" s="1089" t="s">
        <v>682</v>
      </c>
      <c r="I24" s="1090" t="s">
        <v>726</v>
      </c>
      <c r="J24" s="1091">
        <f ca="1">ROUND(J5*M24,2)</f>
        <v>0</v>
      </c>
      <c r="K24" s="1092" t="s">
        <v>746</v>
      </c>
      <c r="L24" s="1090" t="s">
        <v>742</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747</v>
      </c>
      <c r="B25" s="302" t="s">
        <v>748</v>
      </c>
      <c r="C25" s="21"/>
      <c r="D25" s="131" t="s">
        <v>749</v>
      </c>
      <c r="E25" s="1360"/>
      <c r="F25" s="23"/>
      <c r="G25" s="1384"/>
      <c r="H25" s="1079" t="s">
        <v>394</v>
      </c>
      <c r="I25" s="1094" t="s">
        <v>750</v>
      </c>
      <c r="J25" s="310">
        <f ca="1">J5-J16</f>
        <v>0</v>
      </c>
      <c r="K25" s="1095" t="s">
        <v>751</v>
      </c>
      <c r="L25" s="1096"/>
      <c r="M25" s="1097"/>
    </row>
    <row r="26" spans="1:37">
      <c r="A26" s="982" t="s">
        <v>397</v>
      </c>
      <c r="B26" s="302" t="s">
        <v>752</v>
      </c>
      <c r="C26" s="21">
        <f ca="1">ROUND((C19+C20)*F26,0)</f>
        <v>0</v>
      </c>
      <c r="D26" s="323" t="s">
        <v>753</v>
      </c>
      <c r="E26" s="313" t="s">
        <v>754</v>
      </c>
      <c r="F26" s="312">
        <f ca="1">INDIRECT("'数据-取费表'!q"&amp;$G$1)</f>
        <v>0</v>
      </c>
      <c r="G26" s="1384"/>
      <c r="H26" s="299" t="s">
        <v>395</v>
      </c>
      <c r="I26" s="300" t="s">
        <v>755</v>
      </c>
      <c r="J26" s="301">
        <f ca="1">IF(J5&lt;&gt;0,ROUND(J25*(1-((1+M28)/(1+M26))^M27)/(M26-M28),0),0)</f>
        <v>0</v>
      </c>
      <c r="K26" s="324" t="s">
        <v>756</v>
      </c>
      <c r="L26" s="302" t="s">
        <v>757</v>
      </c>
      <c r="M26" s="312">
        <f ca="1">INDIRECT("'数据-取费表'!I"&amp;$G$1)</f>
        <v>0</v>
      </c>
    </row>
    <row r="27" spans="1:37" ht="18" customHeight="1">
      <c r="A27" s="982" t="s">
        <v>399</v>
      </c>
      <c r="B27" s="302" t="s">
        <v>758</v>
      </c>
      <c r="C27" s="21">
        <f ca="1">ROUND(F21*F26,4)</f>
        <v>0</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0</v>
      </c>
      <c r="D29" s="1092"/>
      <c r="E29" s="1090"/>
      <c r="F29" s="1093"/>
      <c r="G29" s="1396"/>
      <c r="H29" s="334" t="s">
        <v>396</v>
      </c>
      <c r="I29" s="335" t="s">
        <v>766</v>
      </c>
      <c r="J29" s="336">
        <f ca="1">ROUND(J26/(1+F40)^F41,0)</f>
        <v>0</v>
      </c>
      <c r="K29" s="337" t="s">
        <v>767</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0</v>
      </c>
      <c r="D30" s="1087" t="s">
        <v>713</v>
      </c>
      <c r="E30" s="1088"/>
      <c r="F30" s="1072"/>
      <c r="G30" s="1384"/>
      <c r="H30" s="2696"/>
      <c r="I30" s="1398"/>
      <c r="J30" s="1399"/>
      <c r="K30" s="2474"/>
      <c r="L30" s="2697"/>
      <c r="M30" s="2698"/>
    </row>
    <row r="31" spans="1:37" ht="18" customHeight="1">
      <c r="A31" s="982" t="s">
        <v>398</v>
      </c>
      <c r="B31" s="302" t="s">
        <v>717</v>
      </c>
      <c r="C31" s="2316">
        <f ca="1">ROUND(IF(AND(项目基本情况!B11="自然人",项目基本情况!B10="北京市"),C6*F31/(1+'数据-取费表'!C42),C32+C33+C34),2)</f>
        <v>0</v>
      </c>
      <c r="D31" s="1345" t="s">
        <v>718</v>
      </c>
      <c r="E31" s="1344" t="s">
        <v>768</v>
      </c>
      <c r="F31" s="2315"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721</v>
      </c>
      <c r="C32" s="21">
        <f ca="1">IF(项目基本情况!B11="自然人","——",ROUND(C6*F32/(1+'数据-取费表'!C42),2))</f>
        <v>0</v>
      </c>
      <c r="D32" s="1344" t="s">
        <v>722</v>
      </c>
      <c r="E32" s="302" t="s">
        <v>710</v>
      </c>
      <c r="F32" s="331">
        <f>'数据-取费表'!B41</f>
        <v>5.6000000000000001E-2</v>
      </c>
      <c r="G32" s="1384"/>
      <c r="H32" s="2696"/>
      <c r="I32" s="1398"/>
      <c r="J32" s="1399"/>
      <c r="K32" s="2474"/>
      <c r="L32" s="2697"/>
      <c r="M32" s="2698"/>
    </row>
    <row r="33" spans="1:18" ht="18" customHeight="1">
      <c r="A33" s="982" t="s">
        <v>399</v>
      </c>
      <c r="B33" s="302" t="s">
        <v>725</v>
      </c>
      <c r="C33" s="21">
        <f ca="1">IF(项目基本情况!B11="自然人","——",IF(D33="按租金收入计税",ROUND(C6*F33/(1+'数据-取费表'!C42),2),IF(D33="按房产原值计税",ROUND(C29*F33*0.7,2),INDIRECT("'数据-取费表'!Aj"&amp;$G$1))))</f>
        <v>0</v>
      </c>
      <c r="D33" s="1370" t="s">
        <v>3336</v>
      </c>
      <c r="E33" s="302" t="s">
        <v>710</v>
      </c>
      <c r="F33" s="322">
        <f>IF(D33="按票据","——",IF(D33="按租金收入计税",'数据-取费表'!B51,'数据-取费表'!B50))</f>
        <v>0.12</v>
      </c>
      <c r="G33" s="1384"/>
      <c r="H33" s="2699"/>
      <c r="I33" s="1398"/>
      <c r="J33" s="1399"/>
      <c r="K33" s="2700"/>
      <c r="L33" s="2699"/>
      <c r="M33" s="2699"/>
    </row>
    <row r="34" spans="1:18" ht="18" customHeight="1">
      <c r="A34" s="1069" t="s">
        <v>678</v>
      </c>
      <c r="B34" s="155" t="s">
        <v>728</v>
      </c>
      <c r="C34" s="22">
        <f ca="1">IF(项目基本情况!B11="自然人","——",ROUND(F34*F35/10000,2))</f>
        <v>0</v>
      </c>
      <c r="D34" s="324" t="s">
        <v>729</v>
      </c>
      <c r="E34" s="302" t="s">
        <v>730</v>
      </c>
      <c r="F34" s="325">
        <f>'数据-取费表'!B52</f>
        <v>0</v>
      </c>
      <c r="G34" s="1384"/>
      <c r="H34" s="2696"/>
      <c r="I34" s="1398"/>
      <c r="J34" s="1399"/>
      <c r="K34" s="2701"/>
      <c r="L34" s="2702"/>
      <c r="M34" s="2702"/>
    </row>
    <row r="35" spans="1:18" ht="18" customHeight="1">
      <c r="A35" s="1103"/>
      <c r="B35" s="1101"/>
      <c r="C35" s="26"/>
      <c r="D35" s="327"/>
      <c r="E35" s="302" t="s">
        <v>734</v>
      </c>
      <c r="F35" s="303">
        <f ca="1">INDIRECT("'数据-取费表'!r"&amp;$G$1)</f>
        <v>0</v>
      </c>
      <c r="G35" s="1384"/>
      <c r="H35" s="2696"/>
      <c r="I35" s="1398"/>
      <c r="J35" s="1399"/>
      <c r="K35" s="2700"/>
      <c r="L35" s="2699"/>
      <c r="M35" s="2699"/>
    </row>
    <row r="36" spans="1:18" ht="18" customHeight="1">
      <c r="A36" s="1102" t="s">
        <v>402</v>
      </c>
      <c r="B36" s="302" t="s">
        <v>736</v>
      </c>
      <c r="C36" s="21">
        <f ca="1">ROUND(C29*F36,2)</f>
        <v>0</v>
      </c>
      <c r="D36" s="1344" t="s">
        <v>769</v>
      </c>
      <c r="E36" s="302" t="s">
        <v>710</v>
      </c>
      <c r="F36" s="328">
        <f ca="1">INDIRECT("'数据-取费表'!Ak"&amp;$G$1)</f>
        <v>0</v>
      </c>
      <c r="G36" s="1384"/>
      <c r="H36" s="2699"/>
      <c r="I36" s="1398"/>
      <c r="J36" s="1399"/>
      <c r="K36" s="2543"/>
      <c r="L36" s="2699"/>
      <c r="M36" s="2699"/>
    </row>
    <row r="37" spans="1:18" ht="18" customHeight="1">
      <c r="A37" s="982" t="s">
        <v>437</v>
      </c>
      <c r="B37" s="302" t="s">
        <v>740</v>
      </c>
      <c r="C37" s="21">
        <f ca="1">ROUND(C13*F37,2)</f>
        <v>0</v>
      </c>
      <c r="D37" s="1344" t="s">
        <v>741</v>
      </c>
      <c r="E37" s="302" t="s">
        <v>742</v>
      </c>
      <c r="F37" s="330">
        <f ca="1">INDIRECT("'数据-取费表'!Al"&amp;$G$1)</f>
        <v>0</v>
      </c>
      <c r="G37" s="1384"/>
      <c r="H37" s="2699"/>
      <c r="I37" s="1398"/>
      <c r="J37" s="1399"/>
      <c r="K37" s="2543"/>
      <c r="L37" s="2699"/>
      <c r="M37" s="2699"/>
    </row>
    <row r="38" spans="1:18" ht="18" customHeight="1" thickBot="1">
      <c r="A38" s="1089" t="s">
        <v>682</v>
      </c>
      <c r="B38" s="1090" t="s">
        <v>726</v>
      </c>
      <c r="C38" s="1091">
        <f ca="1">ROUND(C5*F38,2)</f>
        <v>0</v>
      </c>
      <c r="D38" s="1092" t="s">
        <v>746</v>
      </c>
      <c r="E38" s="1090" t="s">
        <v>742</v>
      </c>
      <c r="F38" s="1086">
        <f ca="1">INDIRECT("'数据-取费表'!Am"&amp;$G$1)</f>
        <v>0</v>
      </c>
      <c r="G38" s="1384"/>
      <c r="H38" s="2699"/>
      <c r="I38" s="1398"/>
      <c r="J38" s="1399"/>
      <c r="K38" s="2703"/>
      <c r="L38" s="2699"/>
      <c r="M38" s="2699"/>
    </row>
    <row r="39" spans="1:18" ht="24.6" customHeight="1" thickTop="1">
      <c r="A39" s="1079" t="s">
        <v>394</v>
      </c>
      <c r="B39" s="1094" t="s">
        <v>770</v>
      </c>
      <c r="C39" s="310">
        <f ca="1">C5-C30</f>
        <v>0</v>
      </c>
      <c r="D39" s="1095" t="s">
        <v>771</v>
      </c>
      <c r="E39" s="1096"/>
      <c r="F39" s="1097"/>
      <c r="G39" s="1384"/>
      <c r="H39" s="2699"/>
      <c r="I39" s="1398"/>
      <c r="J39" s="1399"/>
      <c r="K39" s="2703"/>
      <c r="L39" s="2699"/>
      <c r="M39" s="2699"/>
    </row>
    <row r="40" spans="1:18" ht="18" customHeight="1">
      <c r="A40" s="299" t="s">
        <v>395</v>
      </c>
      <c r="B40" s="300" t="s">
        <v>772</v>
      </c>
      <c r="C40" s="301" t="e">
        <f ca="1">ROUND(C39*(1-((1+F42)/(1+F40))^F41)/(F40-F42),0)</f>
        <v>#DIV/0!</v>
      </c>
      <c r="D40" s="324" t="s">
        <v>756</v>
      </c>
      <c r="E40" s="302" t="s">
        <v>757</v>
      </c>
      <c r="F40" s="312">
        <f ca="1">INDIRECT("'数据-取费表'!I"&amp;$G$1)</f>
        <v>0</v>
      </c>
      <c r="G40" s="1384"/>
      <c r="H40" s="1461"/>
      <c r="I40" s="1398"/>
      <c r="J40" s="1399"/>
      <c r="K40" s="2703"/>
      <c r="L40" s="1461"/>
      <c r="M40" s="1461"/>
    </row>
    <row r="41" spans="1:18" ht="18" customHeight="1">
      <c r="A41" s="304"/>
      <c r="B41" s="305"/>
      <c r="C41" s="306"/>
      <c r="D41" s="332" t="s">
        <v>773</v>
      </c>
      <c r="E41" s="302" t="s">
        <v>761</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764</v>
      </c>
      <c r="F42" s="312">
        <f ca="1">INDIRECT("'数据-取费表'!v"&amp;$G$1)</f>
        <v>0</v>
      </c>
      <c r="G42" s="1384"/>
      <c r="H42" s="1191"/>
      <c r="I42" s="1398"/>
      <c r="J42" s="1399"/>
      <c r="K42" s="2543"/>
      <c r="L42" s="1191"/>
      <c r="M42" s="1191"/>
    </row>
    <row r="43" spans="1:18" ht="18" customHeight="1" thickBot="1">
      <c r="A43" s="334" t="s">
        <v>396</v>
      </c>
      <c r="B43" s="335" t="s">
        <v>774</v>
      </c>
      <c r="C43" s="336" t="e">
        <f ca="1">ROUND(C40*10000/F43,0)</f>
        <v>#DIV/0!</v>
      </c>
      <c r="D43" s="337" t="s">
        <v>775</v>
      </c>
      <c r="E43" s="338" t="s">
        <v>776</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806</v>
      </c>
      <c r="P45" s="1461"/>
      <c r="Q45" s="1461"/>
      <c r="R45" s="1461"/>
    </row>
    <row r="46" spans="1:18" s="1384" customFormat="1" ht="13.5" thickBot="1">
      <c r="A46" s="1404" t="s">
        <v>807</v>
      </c>
      <c r="C46" s="1405" t="e">
        <f ca="1">C68-C40</f>
        <v>#DIV/0!</v>
      </c>
      <c r="D46" s="1406" t="str">
        <f>C2</f>
        <v>万元</v>
      </c>
      <c r="E46" s="1400"/>
      <c r="F46" s="1400"/>
      <c r="I46" s="1407" t="s">
        <v>808</v>
      </c>
      <c r="J46" s="1408"/>
      <c r="K46" s="1409"/>
      <c r="L46" s="1410" t="e">
        <f ca="1">IF(M47="住宅",0,IF(L48&gt;J51,L60,J60))</f>
        <v>#DIV/0!</v>
      </c>
      <c r="O46" s="1411" t="s">
        <v>809</v>
      </c>
      <c r="P46" s="1412" t="s">
        <v>810</v>
      </c>
      <c r="Q46" s="1413" t="s">
        <v>811</v>
      </c>
      <c r="R46" s="1413" t="s">
        <v>812</v>
      </c>
    </row>
    <row r="47" spans="1:18" s="1384" customFormat="1" ht="13.5" thickBot="1">
      <c r="A47" s="946" t="s">
        <v>685</v>
      </c>
      <c r="B47" s="978" t="s">
        <v>686</v>
      </c>
      <c r="C47" s="1117" t="s">
        <v>687</v>
      </c>
      <c r="D47" s="978" t="s">
        <v>688</v>
      </c>
      <c r="E47" s="1058" t="s">
        <v>689</v>
      </c>
      <c r="F47" s="1059"/>
      <c r="G47" s="722"/>
      <c r="I47" s="1414" t="s">
        <v>813</v>
      </c>
      <c r="J47" s="1415"/>
      <c r="K47" s="1416" t="s">
        <v>814</v>
      </c>
      <c r="L47" s="1417">
        <f ca="1">INDIRECT("'数据-取费表'!d"&amp;$G$1)</f>
        <v>0</v>
      </c>
      <c r="M47" s="1380" t="str">
        <f>IF(ISNUMBER(FIND("住宅",C1)),"住宅","非住宅")</f>
        <v>非住宅</v>
      </c>
      <c r="O47" s="1418" t="s">
        <v>403</v>
      </c>
      <c r="P47" s="1419" t="s">
        <v>815</v>
      </c>
      <c r="Q47" s="1420" t="e">
        <f ca="1">C40+J29</f>
        <v>#DIV/0!</v>
      </c>
      <c r="R47" s="1420" t="s">
        <v>816</v>
      </c>
    </row>
    <row r="48" spans="1:18" s="1384" customFormat="1" ht="28.5" thickBot="1">
      <c r="A48" s="1110" t="s">
        <v>438</v>
      </c>
      <c r="B48" s="300" t="s">
        <v>690</v>
      </c>
      <c r="C48" s="1359">
        <f ca="1">C49+C53+C55</f>
        <v>0</v>
      </c>
      <c r="D48" s="1112"/>
      <c r="E48" s="1113"/>
      <c r="F48" s="962"/>
      <c r="G48" s="722"/>
      <c r="H48" s="723"/>
      <c r="I48" s="1421" t="s">
        <v>817</v>
      </c>
      <c r="J48" s="1422"/>
      <c r="K48" s="1423" t="s">
        <v>818</v>
      </c>
      <c r="L48" s="1424">
        <f ca="1">INDIRECT("'数据-取费表'!f"&amp;$G$1)</f>
        <v>0</v>
      </c>
      <c r="O48" s="1418" t="s">
        <v>404</v>
      </c>
      <c r="P48" s="1419" t="s">
        <v>819</v>
      </c>
      <c r="Q48" s="1420" t="e">
        <f ca="1">J60</f>
        <v>#DIV/0!</v>
      </c>
      <c r="R48" s="1420" t="s">
        <v>820</v>
      </c>
    </row>
    <row r="49" spans="1:18" s="1384" customFormat="1" ht="13.5" thickBot="1">
      <c r="A49" s="975" t="s">
        <v>439</v>
      </c>
      <c r="B49" s="1371" t="s">
        <v>777</v>
      </c>
      <c r="C49" s="1114">
        <f ca="1">ROUND(F49*F51*F50*(1-F52)/10000,0)</f>
        <v>0</v>
      </c>
      <c r="D49" s="1055" t="s">
        <v>2106</v>
      </c>
      <c r="E49" s="1372" t="s">
        <v>778</v>
      </c>
      <c r="F49" s="1060"/>
      <c r="G49" s="1425"/>
      <c r="H49" s="723"/>
      <c r="I49" s="1421" t="s">
        <v>821</v>
      </c>
      <c r="J49" s="1426"/>
      <c r="K49" s="1423" t="s">
        <v>822</v>
      </c>
      <c r="L49" s="1427"/>
      <c r="O49" s="1428" t="s">
        <v>405</v>
      </c>
      <c r="P49" s="1419" t="s">
        <v>823</v>
      </c>
      <c r="Q49" s="1420">
        <f ca="1">C29</f>
        <v>0</v>
      </c>
      <c r="R49" s="1420" t="s">
        <v>816</v>
      </c>
    </row>
    <row r="50" spans="1:18" s="1384" customFormat="1" ht="13.5" thickBot="1">
      <c r="A50" s="976"/>
      <c r="B50" s="979"/>
      <c r="C50" s="1118"/>
      <c r="D50" s="953"/>
      <c r="E50" s="1056" t="s">
        <v>695</v>
      </c>
      <c r="F50" s="1057">
        <f ca="1">F7</f>
        <v>0</v>
      </c>
      <c r="H50" s="723"/>
      <c r="I50" s="1421" t="s">
        <v>824</v>
      </c>
      <c r="J50" s="1429">
        <f>SUMPRODUCT((I63:I65=J47)*(J62:L62=J48)*(J63:L65))</f>
        <v>0</v>
      </c>
      <c r="K50" s="1423" t="s">
        <v>825</v>
      </c>
      <c r="L50" s="1427"/>
      <c r="M50" s="1430"/>
      <c r="O50" s="1428" t="s">
        <v>406</v>
      </c>
      <c r="P50" s="1419" t="s">
        <v>826</v>
      </c>
      <c r="Q50" s="1431" t="e">
        <f ca="1">J58</f>
        <v>#DIV/0!</v>
      </c>
      <c r="R50" s="1420"/>
    </row>
    <row r="51" spans="1:18" s="1384" customFormat="1" ht="13.5" thickBot="1">
      <c r="A51" s="977"/>
      <c r="B51" s="979"/>
      <c r="C51" s="980"/>
      <c r="D51" s="953"/>
      <c r="E51" s="981" t="s">
        <v>696</v>
      </c>
      <c r="F51" s="303">
        <f ca="1">F8</f>
        <v>0</v>
      </c>
      <c r="I51" s="1432" t="s">
        <v>827</v>
      </c>
      <c r="J51" s="1433">
        <f>IF(J49="",J50,J49+J50-YEAR('数据-取费表'!B2))</f>
        <v>0</v>
      </c>
      <c r="K51" s="1434" t="s">
        <v>828</v>
      </c>
      <c r="L51" s="1435">
        <f ca="1">ROUND(-PV(INDIRECT("'数据-取费表'!h"&amp;$G$1),J51,(C39-C13*C76),0),0)</f>
        <v>0</v>
      </c>
      <c r="M51" s="1436"/>
      <c r="O51" s="1428" t="s">
        <v>407</v>
      </c>
      <c r="P51" s="1419" t="s">
        <v>829</v>
      </c>
      <c r="Q51" s="1431">
        <f>J52</f>
        <v>0</v>
      </c>
      <c r="R51" s="1420"/>
    </row>
    <row r="52" spans="1:18" s="1384" customFormat="1" ht="13.5" thickBot="1">
      <c r="A52" s="977"/>
      <c r="B52" s="979"/>
      <c r="C52" s="980"/>
      <c r="D52" s="953"/>
      <c r="E52" s="981" t="s">
        <v>697</v>
      </c>
      <c r="F52" s="1054"/>
      <c r="I52" s="1437" t="s">
        <v>830</v>
      </c>
      <c r="J52" s="1438"/>
      <c r="K52" s="1437" t="s">
        <v>831</v>
      </c>
      <c r="L52" s="1438"/>
      <c r="O52" s="1428" t="s">
        <v>408</v>
      </c>
      <c r="P52" s="1419" t="s">
        <v>832</v>
      </c>
      <c r="Q52" s="1420">
        <f ca="1">J53</f>
        <v>0</v>
      </c>
      <c r="R52" s="1420" t="s">
        <v>833</v>
      </c>
    </row>
    <row r="53" spans="1:18" s="1384" customFormat="1" ht="24.75" thickBot="1">
      <c r="A53" s="1152" t="s">
        <v>440</v>
      </c>
      <c r="B53" s="1373" t="s">
        <v>698</v>
      </c>
      <c r="C53" s="316">
        <f ca="1">ROUND(IF(F53="押一",C49/12*F11,IF(F53="押二",C49/12*2*F11,IF(F53="押三",C49/12*3*F11,C54*F11))),0)</f>
        <v>0</v>
      </c>
      <c r="D53" s="1366" t="s">
        <v>2112</v>
      </c>
      <c r="E53" s="313" t="s">
        <v>699</v>
      </c>
      <c r="F53" s="1116"/>
      <c r="I53" s="1439" t="s">
        <v>834</v>
      </c>
      <c r="J53" s="2168">
        <f ca="1">IF(M47="住宅",IF(D1="——",MAX(J51,L48),MAX(J51,L48-'数据-取费表'!B24)),IF(D1="——",MIN(J51,L48),MIN(J51,L48-'数据-取费表'!B24)))</f>
        <v>0</v>
      </c>
      <c r="K53" s="3685" t="s">
        <v>835</v>
      </c>
      <c r="L53" s="3686"/>
      <c r="O53" s="1418" t="s">
        <v>409</v>
      </c>
      <c r="P53" s="1419" t="s">
        <v>836</v>
      </c>
      <c r="Q53" s="1420" t="e">
        <f ca="1">Q47+Q48</f>
        <v>#DIV/0!</v>
      </c>
      <c r="R53" s="1420" t="s">
        <v>410</v>
      </c>
    </row>
    <row r="54" spans="1:18" s="1384" customFormat="1" ht="13.5" thickBot="1">
      <c r="A54" s="1153"/>
      <c r="B54" s="1367" t="s">
        <v>677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t="e">
        <f ca="1">ROUND(IF(J47="钢混",J57/J50,1-(1-2%)*(J50-J57)/J50),3)</f>
        <v>#DIV/0!</v>
      </c>
      <c r="K55" s="1445" t="s">
        <v>839</v>
      </c>
      <c r="L55" s="1446"/>
      <c r="O55" s="1411" t="s">
        <v>809</v>
      </c>
      <c r="P55" s="1412" t="s">
        <v>810</v>
      </c>
      <c r="Q55" s="1413" t="s">
        <v>811</v>
      </c>
      <c r="R55" s="1413" t="s">
        <v>812</v>
      </c>
    </row>
    <row r="56" spans="1:18" s="1384" customFormat="1" ht="25.5" thickTop="1" thickBot="1">
      <c r="A56" s="957">
        <v>2</v>
      </c>
      <c r="B56" s="958" t="s">
        <v>702</v>
      </c>
      <c r="C56" s="232">
        <f ca="1">C13</f>
        <v>0</v>
      </c>
      <c r="D56" s="1447"/>
      <c r="E56" s="1448"/>
      <c r="F56" s="1440"/>
      <c r="I56" s="1449" t="s">
        <v>840</v>
      </c>
      <c r="J56" s="1450"/>
      <c r="K56" s="1421" t="s">
        <v>841</v>
      </c>
      <c r="L56" s="1424">
        <f ca="1">IF(L48&lt;J51,"——",L48-J53)</f>
        <v>0</v>
      </c>
      <c r="O56" s="1418" t="s">
        <v>403</v>
      </c>
      <c r="P56" s="1419" t="s">
        <v>815</v>
      </c>
      <c r="Q56" s="1420" t="e">
        <f ca="1">C40+J29</f>
        <v>#DIV/0!</v>
      </c>
      <c r="R56" s="1420" t="s">
        <v>816</v>
      </c>
    </row>
    <row r="57" spans="1:18" s="1384" customFormat="1" ht="24.75" thickBot="1">
      <c r="A57" s="1451"/>
      <c r="B57" s="950" t="s">
        <v>765</v>
      </c>
      <c r="C57" s="238">
        <f ca="1">C29</f>
        <v>0</v>
      </c>
      <c r="D57" s="1452"/>
      <c r="E57" s="1453"/>
      <c r="F57" s="1454"/>
      <c r="I57" s="1455" t="s">
        <v>842</v>
      </c>
      <c r="J57" s="1456">
        <f ca="1">IF(OR(M47="住宅",J51&lt;L48,J56="是"),"——",J51-L48)</f>
        <v>0</v>
      </c>
      <c r="K57" s="1421" t="s">
        <v>843</v>
      </c>
      <c r="L57" s="1424">
        <f ca="1">IF(L48&lt;J51,"——",IF(L55="比较法",L49,IF(L55="基准地价",L50,L51)))</f>
        <v>0</v>
      </c>
      <c r="O57" s="1418" t="s">
        <v>404</v>
      </c>
      <c r="P57" s="1419" t="s">
        <v>844</v>
      </c>
      <c r="Q57" s="1420" t="e">
        <f ca="1">L60</f>
        <v>#DIV/0!</v>
      </c>
      <c r="R57" s="1420" t="s">
        <v>845</v>
      </c>
    </row>
    <row r="58" spans="1:18" s="1384" customFormat="1" ht="24.75" thickBot="1">
      <c r="A58" s="315" t="s">
        <v>393</v>
      </c>
      <c r="B58" s="958" t="s">
        <v>712</v>
      </c>
      <c r="C58" s="316">
        <f ca="1">ROUND(C59+C64+C65+C66,0)</f>
        <v>0</v>
      </c>
      <c r="D58" s="960" t="s">
        <v>713</v>
      </c>
      <c r="E58" s="961"/>
      <c r="F58" s="962"/>
      <c r="I58" s="1455" t="s">
        <v>846</v>
      </c>
      <c r="J58" s="1457" t="e">
        <f ca="1">IF(J55&lt;0.4,0.4,J55)</f>
        <v>#DIV/0!</v>
      </c>
      <c r="K58" s="1434" t="s">
        <v>847</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f ca="1">IF(项目基本情况!B11="自然人","——",ROUND(C48*F60/(1+'数据-取费表'!C42),2))</f>
        <v>0</v>
      </c>
      <c r="D60" s="964" t="s">
        <v>722</v>
      </c>
      <c r="E60" s="950" t="s">
        <v>710</v>
      </c>
      <c r="F60" s="331">
        <f t="shared" ref="F60:F66" si="0">F32</f>
        <v>5.6000000000000001E-2</v>
      </c>
      <c r="I60" s="1458" t="s">
        <v>851</v>
      </c>
      <c r="J60" s="1459" t="e">
        <f ca="1">IF(OR(M47="住宅",J51&lt;L48,J56="是"),"0",ROUND(J59/(1+J52)^J53,0))</f>
        <v>#DIV/0!</v>
      </c>
      <c r="K60" s="1460" t="s">
        <v>852</v>
      </c>
      <c r="L60" s="1459" t="e">
        <f ca="1">IF(OR(M47="住宅",L48&lt;J51),0,ROUND(L57*(L58/L59-1),0))</f>
        <v>#DIV/0!</v>
      </c>
      <c r="O60" s="1428" t="s">
        <v>407</v>
      </c>
      <c r="P60" s="1419" t="s">
        <v>853</v>
      </c>
      <c r="Q60" s="1420" t="e">
        <f ca="1">L58</f>
        <v>#DIV/0!</v>
      </c>
      <c r="R60" s="1420" t="s">
        <v>854</v>
      </c>
    </row>
    <row r="61" spans="1:18" s="1384" customFormat="1" ht="13.5" thickBot="1">
      <c r="A61" s="982" t="s">
        <v>779</v>
      </c>
      <c r="B61" s="950" t="s">
        <v>780</v>
      </c>
      <c r="C61" s="21">
        <f ca="1">IF(项目基本情况!B11="自然人","——",IF(D61="按租金收入计税",ROUND(C49*F61/(1+'数据-取费表'!C42),2),IF(D61="按房产原值计税",ROUND(C57*F61*0.7,2),INDIRECT("'数据-取费表'!Aj"&amp;$G$1))))</f>
        <v>0</v>
      </c>
      <c r="D61" s="1370" t="s">
        <v>3336</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f ca="1">IF(项目基本情况!B11="自然人","——",ROUND(F62*F63/10000,2))</f>
        <v>0</v>
      </c>
      <c r="D62" s="965" t="s">
        <v>784</v>
      </c>
      <c r="E62" s="950" t="s">
        <v>785</v>
      </c>
      <c r="F62" s="325">
        <f t="shared" si="0"/>
        <v>0</v>
      </c>
      <c r="I62" s="1462" t="s">
        <v>856</v>
      </c>
      <c r="J62" s="1463" t="s">
        <v>857</v>
      </c>
      <c r="K62" s="1463" t="s">
        <v>858</v>
      </c>
      <c r="L62" s="1463" t="s">
        <v>859</v>
      </c>
      <c r="M62" s="1464" t="s">
        <v>860</v>
      </c>
      <c r="O62" s="1418" t="s">
        <v>409</v>
      </c>
      <c r="P62" s="1419" t="s">
        <v>861</v>
      </c>
      <c r="Q62" s="1420" t="e">
        <f ca="1">Q56+Q57</f>
        <v>#DIV/0!</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ROUND(C57*F64,2)</f>
        <v>0</v>
      </c>
      <c r="D64" s="964" t="s">
        <v>789</v>
      </c>
      <c r="E64" s="950" t="s">
        <v>781</v>
      </c>
      <c r="F64" s="328">
        <f t="shared" ca="1" si="0"/>
        <v>0</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ROUND(C56*F65,2)</f>
        <v>0</v>
      </c>
      <c r="D65" s="964" t="s">
        <v>741</v>
      </c>
      <c r="E65" s="950" t="s">
        <v>742</v>
      </c>
      <c r="F65" s="330">
        <f t="shared" ca="1" si="0"/>
        <v>0</v>
      </c>
      <c r="I65" s="1462" t="s">
        <v>865</v>
      </c>
      <c r="J65" s="1463">
        <v>40</v>
      </c>
      <c r="K65" s="1463">
        <v>30</v>
      </c>
      <c r="L65" s="1463">
        <v>50</v>
      </c>
      <c r="M65" s="1465">
        <v>0.02</v>
      </c>
      <c r="O65" s="1418" t="s">
        <v>403</v>
      </c>
      <c r="P65" s="1419" t="s">
        <v>866</v>
      </c>
      <c r="Q65" s="1420" t="e">
        <f ca="1">C40+J29</f>
        <v>#DIV/0!</v>
      </c>
      <c r="R65" s="1420" t="s">
        <v>816</v>
      </c>
    </row>
    <row r="66" spans="1:18" s="1384" customFormat="1" ht="16.5" thickBot="1">
      <c r="A66" s="982" t="s">
        <v>791</v>
      </c>
      <c r="B66" s="950" t="s">
        <v>726</v>
      </c>
      <c r="C66" s="21">
        <f ca="1">ROUND(C48*F66,2)</f>
        <v>0</v>
      </c>
      <c r="D66" s="964" t="s">
        <v>792</v>
      </c>
      <c r="E66" s="950" t="s">
        <v>710</v>
      </c>
      <c r="F66" s="312">
        <f t="shared" ca="1" si="0"/>
        <v>0</v>
      </c>
      <c r="O66" s="1418" t="s">
        <v>404</v>
      </c>
      <c r="P66" s="1419" t="s">
        <v>844</v>
      </c>
      <c r="Q66" s="1420" t="e">
        <f ca="1">L60</f>
        <v>#DIV/0!</v>
      </c>
      <c r="R66" s="1420" t="s">
        <v>867</v>
      </c>
    </row>
    <row r="67" spans="1:18" s="1384" customFormat="1" ht="16.5" thickBot="1">
      <c r="A67" s="957" t="s">
        <v>394</v>
      </c>
      <c r="B67" s="967" t="s">
        <v>750</v>
      </c>
      <c r="C67" s="316">
        <f ca="1">C48-C58</f>
        <v>0</v>
      </c>
      <c r="D67" s="963" t="s">
        <v>751</v>
      </c>
      <c r="E67" s="968"/>
      <c r="F67" s="969"/>
      <c r="O67" s="1428" t="s">
        <v>405</v>
      </c>
      <c r="P67" s="1419" t="s">
        <v>848</v>
      </c>
      <c r="Q67" s="1466">
        <f ca="1">L51</f>
        <v>0</v>
      </c>
      <c r="R67" s="1420" t="s">
        <v>868</v>
      </c>
    </row>
    <row r="68" spans="1:18" s="1384" customFormat="1" ht="16.5" thickBot="1">
      <c r="A68" s="947" t="s">
        <v>395</v>
      </c>
      <c r="B68" s="948" t="s">
        <v>772</v>
      </c>
      <c r="C68" s="301" t="e">
        <f ca="1">ROUND(C67*(1-((1+F70)/(1+F68))^F69)/(F68-F70),0)</f>
        <v>#DIV/0!</v>
      </c>
      <c r="D68" s="965" t="s">
        <v>756</v>
      </c>
      <c r="E68" s="950" t="s">
        <v>757</v>
      </c>
      <c r="F68" s="312">
        <f ca="1">F40</f>
        <v>0</v>
      </c>
      <c r="O68" s="1428" t="s">
        <v>406</v>
      </c>
      <c r="P68" s="1467" t="s">
        <v>869</v>
      </c>
      <c r="Q68" s="1420">
        <f ca="1">ROUND(Q69-Q70*Q71,0)</f>
        <v>0</v>
      </c>
      <c r="R68" s="1420" t="s">
        <v>414</v>
      </c>
    </row>
    <row r="69" spans="1:18" s="1384" customFormat="1" ht="13.5" thickBot="1">
      <c r="A69" s="951"/>
      <c r="B69" s="952"/>
      <c r="C69" s="306"/>
      <c r="D69" s="970" t="s">
        <v>760</v>
      </c>
      <c r="E69" s="950" t="s">
        <v>761</v>
      </c>
      <c r="F69" s="333">
        <f ca="1">F41</f>
        <v>0</v>
      </c>
      <c r="O69" s="1428" t="s">
        <v>411</v>
      </c>
      <c r="P69" s="1467" t="s">
        <v>870</v>
      </c>
      <c r="Q69" s="1420">
        <f ca="1">C39</f>
        <v>0</v>
      </c>
      <c r="R69" s="1420" t="s">
        <v>816</v>
      </c>
    </row>
    <row r="70" spans="1:18" s="1384" customFormat="1" ht="13.5" thickBot="1">
      <c r="A70" s="954"/>
      <c r="B70" s="955"/>
      <c r="C70" s="310"/>
      <c r="D70" s="966"/>
      <c r="E70" s="950" t="s">
        <v>764</v>
      </c>
      <c r="F70" s="1054"/>
      <c r="O70" s="1428" t="s">
        <v>412</v>
      </c>
      <c r="P70" s="1467" t="s">
        <v>871</v>
      </c>
      <c r="Q70" s="1420">
        <f ca="1">C13</f>
        <v>0</v>
      </c>
      <c r="R70" s="1420" t="s">
        <v>816</v>
      </c>
    </row>
    <row r="71" spans="1:18" s="1384" customFormat="1" ht="13.5" thickBot="1">
      <c r="A71" s="971" t="s">
        <v>396</v>
      </c>
      <c r="B71" s="972" t="s">
        <v>774</v>
      </c>
      <c r="C71" s="336" t="e">
        <f ca="1">ROUND(C68*10000/F71,0)</f>
        <v>#DIV/0!</v>
      </c>
      <c r="D71" s="973" t="s">
        <v>775</v>
      </c>
      <c r="E71" s="974" t="s">
        <v>776</v>
      </c>
      <c r="F71" s="339">
        <f ca="1">F43</f>
        <v>0</v>
      </c>
      <c r="O71" s="1428" t="s">
        <v>413</v>
      </c>
      <c r="P71" s="1467" t="s">
        <v>872</v>
      </c>
      <c r="Q71" s="1431">
        <f ca="1">C76</f>
        <v>0</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0</v>
      </c>
      <c r="D75" s="1384"/>
      <c r="E75" s="1384"/>
      <c r="F75" s="1384"/>
      <c r="K75" s="1402"/>
      <c r="L75" s="1384"/>
      <c r="O75" s="1418" t="s">
        <v>409</v>
      </c>
      <c r="P75" s="1419" t="s">
        <v>836</v>
      </c>
      <c r="Q75" s="1420" t="e">
        <f ca="1">Q65+Q66</f>
        <v>#DIV/0!</v>
      </c>
      <c r="R75" s="1420" t="s">
        <v>410</v>
      </c>
    </row>
    <row r="76" spans="1:18">
      <c r="B76" s="342" t="s">
        <v>794</v>
      </c>
      <c r="C76" s="343">
        <f ca="1">INDIRECT("'数据-取费表'!j"&amp;$G$1)</f>
        <v>0</v>
      </c>
      <c r="I76" s="1384"/>
      <c r="J76" s="1384"/>
      <c r="K76" s="1402"/>
      <c r="L76" s="1384"/>
    </row>
    <row r="77" spans="1:18">
      <c r="B77" s="344" t="s">
        <v>795</v>
      </c>
      <c r="C77" s="345"/>
      <c r="I77" s="1384"/>
      <c r="J77" s="1384"/>
      <c r="K77" s="1402"/>
      <c r="L77" s="1384"/>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41" priority="56">
      <formula>$L$48&gt;$J$51</formula>
    </cfRule>
  </conditionalFormatting>
  <conditionalFormatting sqref="I55 I60">
    <cfRule type="expression" dxfId="240" priority="57">
      <formula>$J$51&gt;$L$48</formula>
    </cfRule>
  </conditionalFormatting>
  <conditionalFormatting sqref="C11">
    <cfRule type="expression" dxfId="239" priority="3">
      <formula>$F$10="自定义"</formula>
    </cfRule>
  </conditionalFormatting>
  <conditionalFormatting sqref="J11">
    <cfRule type="expression" dxfId="238" priority="2">
      <formula>$M$10="自定义"</formula>
    </cfRule>
  </conditionalFormatting>
  <conditionalFormatting sqref="C54">
    <cfRule type="expression" dxfId="2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21" zoomScale="80" zoomScaleNormal="70" zoomScaleSheetLayoutView="80" workbookViewId="0">
      <selection activeCell="D63" sqref="D6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v>413</v>
      </c>
      <c r="E1" s="3432" t="s">
        <v>3397</v>
      </c>
      <c r="F1" s="1879" t="s">
        <v>3472</v>
      </c>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f>IF(E1="项目模式",IF(C2="——",ROUND(C50*D3/10000,0),ROUND(C50*D3/10000,0)-D2),IF(E1="单套模式",IF(C2="——",ROUND(C50*D3/10000,4),ROUND(C50*D3/10000,4)-D2)))</f>
        <v>230.30619999999999</v>
      </c>
      <c r="C2" s="1881" t="s">
        <v>43</v>
      </c>
      <c r="D2" s="1115" t="e">
        <f ca="1">IF(E1="项目模式",SUMIF(INDIRECT("'"&amp;F2&amp;"'"&amp;"!A:A"),"承租人权益价值",INDIRECT("'"&amp;F2&amp;"'"&amp;"!c:c")),SUMIF(INDIRECT("'"&amp;F2&amp;"'"&amp;"!A:A"),"承租人权益价值（单套）",INDIRECT("'"&amp;F2&amp;"'"&amp;"!c:c")))</f>
        <v>#REF!</v>
      </c>
      <c r="E2" s="1882" t="s">
        <v>1460</v>
      </c>
      <c r="F2" s="1883" t="s">
        <v>3395</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684</v>
      </c>
      <c r="B3" s="558">
        <f>IF(C2="——",C50,ROUND(B2*10000/D3,0))</f>
        <v>39409</v>
      </c>
      <c r="C3" s="354" t="s">
        <v>1765</v>
      </c>
      <c r="D3" s="353">
        <f>IF(D1="",'数据-汇总表'!E3,SUMIF('数据-汇总表'!$C19:$C33,D1,'数据-汇总表'!$E19:$E33))</f>
        <v>58.44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1663</v>
      </c>
      <c r="B4" s="356"/>
      <c r="C4" s="3729" t="s">
        <v>1767</v>
      </c>
      <c r="D4" s="3730"/>
      <c r="E4" s="3731" t="s">
        <v>1768</v>
      </c>
      <c r="F4" s="3732"/>
      <c r="G4" s="3729" t="s">
        <v>1769</v>
      </c>
      <c r="H4" s="3730"/>
      <c r="I4" s="3729" t="s">
        <v>1770</v>
      </c>
      <c r="J4" s="3730"/>
      <c r="K4" s="559" t="s">
        <v>1771</v>
      </c>
      <c r="L4" s="2714"/>
      <c r="M4" s="2715"/>
      <c r="N4" s="2715"/>
      <c r="O4" s="2715"/>
      <c r="P4" s="3768" t="s">
        <v>1669</v>
      </c>
      <c r="Q4" s="3769"/>
      <c r="R4" s="3762" t="s">
        <v>1768</v>
      </c>
      <c r="S4" s="3763"/>
      <c r="T4" s="3762" t="s">
        <v>1769</v>
      </c>
      <c r="U4" s="3763"/>
      <c r="V4" s="3761" t="s">
        <v>1770</v>
      </c>
      <c r="W4" s="3761"/>
      <c r="X4" s="3455"/>
      <c r="Y4" s="3762" t="s">
        <v>1669</v>
      </c>
      <c r="Z4" s="3763"/>
      <c r="AA4" s="3764" t="s">
        <v>1768</v>
      </c>
      <c r="AB4" s="3764" t="s">
        <v>1769</v>
      </c>
      <c r="AC4" s="3765" t="s">
        <v>1770</v>
      </c>
    </row>
    <row r="5" spans="1:29" ht="13.9" customHeight="1">
      <c r="A5" s="358"/>
      <c r="B5" s="359"/>
      <c r="C5" s="3772" t="s">
        <v>3399</v>
      </c>
      <c r="D5" s="3749"/>
      <c r="E5" s="3772" t="s">
        <v>3399</v>
      </c>
      <c r="F5" s="3749"/>
      <c r="G5" s="3772" t="s">
        <v>3399</v>
      </c>
      <c r="H5" s="3749"/>
      <c r="I5" s="3772" t="s">
        <v>3399</v>
      </c>
      <c r="J5" s="3749"/>
      <c r="K5" s="559"/>
      <c r="L5" s="2714"/>
      <c r="M5" s="2715"/>
      <c r="N5" s="2715"/>
      <c r="O5" s="2715"/>
      <c r="P5" s="3770"/>
      <c r="Q5" s="3736"/>
      <c r="R5" s="3741"/>
      <c r="S5" s="3742"/>
      <c r="T5" s="3741"/>
      <c r="U5" s="3742"/>
      <c r="V5" s="3745"/>
      <c r="W5" s="3745"/>
      <c r="X5" s="3453"/>
      <c r="Y5" s="3741"/>
      <c r="Z5" s="3742"/>
      <c r="AA5" s="3727"/>
      <c r="AB5" s="3727"/>
      <c r="AC5" s="3766"/>
    </row>
    <row r="6" spans="1:29" ht="15.75" thickBot="1">
      <c r="A6" s="360"/>
      <c r="B6" s="361"/>
      <c r="C6" s="3746" t="s">
        <v>1674</v>
      </c>
      <c r="D6" s="3747"/>
      <c r="E6" s="3753" t="s">
        <v>1674</v>
      </c>
      <c r="F6" s="3754"/>
      <c r="G6" s="3746" t="s">
        <v>1674</v>
      </c>
      <c r="H6" s="3747"/>
      <c r="I6" s="3746" t="s">
        <v>1674</v>
      </c>
      <c r="J6" s="3747"/>
      <c r="K6" s="559" t="s">
        <v>1675</v>
      </c>
      <c r="L6" s="2714"/>
      <c r="M6" s="2715"/>
      <c r="N6" s="2715"/>
      <c r="O6" s="2715"/>
      <c r="P6" s="3771"/>
      <c r="Q6" s="3738"/>
      <c r="R6" s="3741"/>
      <c r="S6" s="3742"/>
      <c r="T6" s="3743"/>
      <c r="U6" s="3744"/>
      <c r="V6" s="3745"/>
      <c r="W6" s="3745"/>
      <c r="X6" s="3453"/>
      <c r="Y6" s="3743"/>
      <c r="Z6" s="3744"/>
      <c r="AA6" s="3728"/>
      <c r="AB6" s="3728"/>
      <c r="AC6" s="3767"/>
    </row>
    <row r="7" spans="1:29" s="108" customFormat="1" ht="15.75" thickBot="1">
      <c r="A7" s="362" t="s">
        <v>1676</v>
      </c>
      <c r="B7" s="363"/>
      <c r="C7" s="364">
        <f>'数据-取费表'!B2</f>
        <v>45405</v>
      </c>
      <c r="D7" s="365">
        <v>100</v>
      </c>
      <c r="E7" s="366">
        <v>45379</v>
      </c>
      <c r="F7" s="367">
        <f>SUMIF(59:59,YEAR(E7)&amp;"-"&amp;MONTH(E7),60:60)</f>
        <v>100</v>
      </c>
      <c r="G7" s="366">
        <v>45383</v>
      </c>
      <c r="H7" s="365">
        <f>SUMIF(59:59,YEAR(G7)&amp;"-"&amp;MONTH(G7),60:60)</f>
        <v>100</v>
      </c>
      <c r="I7" s="366">
        <v>45357</v>
      </c>
      <c r="J7" s="365">
        <f>SUMIF(59:59,YEAR(I7)&amp;"-"&amp;MONTH(I7),60:60)</f>
        <v>100</v>
      </c>
      <c r="K7" s="560"/>
      <c r="L7" s="2716"/>
      <c r="M7" s="2717"/>
      <c r="N7" s="2717"/>
      <c r="O7" s="2717"/>
      <c r="P7" s="3760" t="s">
        <v>1677</v>
      </c>
      <c r="Q7" s="3752"/>
      <c r="R7" s="701" t="s">
        <v>14</v>
      </c>
      <c r="S7" s="702">
        <f t="shared" ref="S7:S15" si="0">F7</f>
        <v>100</v>
      </c>
      <c r="T7" s="701" t="s">
        <v>14</v>
      </c>
      <c r="U7" s="702">
        <f t="shared" ref="U7:U15" si="1">H7</f>
        <v>100</v>
      </c>
      <c r="V7" s="701" t="s">
        <v>14</v>
      </c>
      <c r="W7" s="702">
        <f t="shared" ref="W7:W15" si="2">J7</f>
        <v>100</v>
      </c>
      <c r="X7" s="703"/>
      <c r="Y7" s="3750" t="s">
        <v>1677</v>
      </c>
      <c r="Z7" s="3751"/>
      <c r="AA7" s="704">
        <f>D7/F7</f>
        <v>1</v>
      </c>
      <c r="AB7" s="704">
        <f>D7/H7</f>
        <v>1</v>
      </c>
      <c r="AC7" s="1959">
        <f>D7/J7</f>
        <v>1</v>
      </c>
    </row>
    <row r="8" spans="1:29" s="108" customFormat="1" ht="15.75" thickBot="1">
      <c r="A8" s="362" t="s">
        <v>1678</v>
      </c>
      <c r="B8" s="363"/>
      <c r="C8" s="368" t="s">
        <v>3400</v>
      </c>
      <c r="D8" s="365">
        <v>100</v>
      </c>
      <c r="E8" s="368" t="s">
        <v>3401</v>
      </c>
      <c r="F8" s="367">
        <f>SUMIF(62:62,E8,63:63)-SUMIF(62:62,C8,63:63)+100</f>
        <v>102</v>
      </c>
      <c r="G8" s="368" t="s">
        <v>3401</v>
      </c>
      <c r="H8" s="365">
        <f>SUMIF(62:62,G8,63:63)-SUMIF(62:62,C8,63:63)+100</f>
        <v>102</v>
      </c>
      <c r="I8" s="368" t="s">
        <v>3401</v>
      </c>
      <c r="J8" s="365">
        <f>SUMIF(62:62,I8,63:63)-SUMIF(62:62,C8,63:63)+100</f>
        <v>102</v>
      </c>
      <c r="K8" s="560"/>
      <c r="L8" s="2716"/>
      <c r="M8" s="2717"/>
      <c r="N8" s="2717"/>
      <c r="O8" s="2717"/>
      <c r="P8" s="3760" t="s">
        <v>1680</v>
      </c>
      <c r="Q8" s="3751"/>
      <c r="R8" s="701" t="s">
        <v>14</v>
      </c>
      <c r="S8" s="702">
        <f t="shared" si="0"/>
        <v>102</v>
      </c>
      <c r="T8" s="701" t="s">
        <v>14</v>
      </c>
      <c r="U8" s="702">
        <f t="shared" si="1"/>
        <v>102</v>
      </c>
      <c r="V8" s="701" t="s">
        <v>14</v>
      </c>
      <c r="W8" s="702">
        <f t="shared" si="2"/>
        <v>102</v>
      </c>
      <c r="X8" s="703"/>
      <c r="Y8" s="3750" t="s">
        <v>1680</v>
      </c>
      <c r="Z8" s="3751"/>
      <c r="AA8" s="704">
        <f t="shared" ref="AA8:AA47" si="3">D8/F8</f>
        <v>0.98039215686274506</v>
      </c>
      <c r="AB8" s="704">
        <f t="shared" ref="AB8:AB47" si="4">D8/H8</f>
        <v>0.98039215686274506</v>
      </c>
      <c r="AC8" s="1959">
        <f t="shared" ref="AC8:AC47" si="5">D8/J8</f>
        <v>0.98039215686274506</v>
      </c>
    </row>
    <row r="9" spans="1:29" s="108" customFormat="1">
      <c r="A9" s="369" t="s">
        <v>1681</v>
      </c>
      <c r="B9" s="63" t="s">
        <v>1682</v>
      </c>
      <c r="C9" s="3462" t="s">
        <v>3403</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725" t="s">
        <v>1683</v>
      </c>
      <c r="Q9" s="3449" t="str">
        <f t="shared" ref="Q9:Q15" si="6">B9</f>
        <v>用途</v>
      </c>
      <c r="R9" s="701" t="s">
        <v>14</v>
      </c>
      <c r="S9" s="702">
        <f t="shared" si="0"/>
        <v>100</v>
      </c>
      <c r="T9" s="701" t="s">
        <v>14</v>
      </c>
      <c r="U9" s="702">
        <f t="shared" si="1"/>
        <v>100</v>
      </c>
      <c r="V9" s="701" t="s">
        <v>14</v>
      </c>
      <c r="W9" s="702">
        <f t="shared" si="2"/>
        <v>100</v>
      </c>
      <c r="X9" s="703"/>
      <c r="Y9" s="3589" t="s">
        <v>1684</v>
      </c>
      <c r="Z9" s="3448" t="str">
        <f t="shared" ref="Z9:Z15" si="7">Q9</f>
        <v>用途</v>
      </c>
      <c r="AA9" s="704">
        <f t="shared" si="3"/>
        <v>1</v>
      </c>
      <c r="AB9" s="704">
        <f t="shared" si="4"/>
        <v>1</v>
      </c>
      <c r="AC9" s="1959">
        <f t="shared" si="5"/>
        <v>1</v>
      </c>
    </row>
    <row r="10" spans="1:29" s="378" customFormat="1" ht="27">
      <c r="A10" s="374"/>
      <c r="B10" s="375" t="s">
        <v>1685</v>
      </c>
      <c r="C10" s="3433">
        <f>'数据-取费表'!F6</f>
        <v>36.72</v>
      </c>
      <c r="D10" s="127">
        <v>100</v>
      </c>
      <c r="E10" s="3433">
        <f>C10</f>
        <v>36.72</v>
      </c>
      <c r="F10" s="127">
        <f>SUMIF(66:66,E10,67:67)-SUMIF(66:66,C10,67:67)+100</f>
        <v>100</v>
      </c>
      <c r="G10" s="3434">
        <f>C10</f>
        <v>36.72</v>
      </c>
      <c r="H10" s="127">
        <f>SUMIF(66:66,G10,67:67)-SUMIF(66:66,C10,67:67)+100</f>
        <v>100</v>
      </c>
      <c r="I10" s="3433">
        <f>C10</f>
        <v>36.72</v>
      </c>
      <c r="J10" s="127">
        <f>SUMIF(66:66,I10,67:67)-SUMIF(66:66,C10,67:67)+100</f>
        <v>100</v>
      </c>
      <c r="K10" s="560"/>
      <c r="L10" s="2718"/>
      <c r="M10" s="2719"/>
      <c r="N10" s="2719"/>
      <c r="O10" s="2719"/>
      <c r="P10" s="3725"/>
      <c r="Q10" s="3449" t="str">
        <f t="shared" si="6"/>
        <v>土地使用年限（年）</v>
      </c>
      <c r="R10" s="701" t="s">
        <v>14</v>
      </c>
      <c r="S10" s="702">
        <f t="shared" si="0"/>
        <v>100</v>
      </c>
      <c r="T10" s="701" t="s">
        <v>14</v>
      </c>
      <c r="U10" s="702">
        <f t="shared" si="1"/>
        <v>100</v>
      </c>
      <c r="V10" s="701" t="s">
        <v>14</v>
      </c>
      <c r="W10" s="702">
        <f t="shared" si="2"/>
        <v>100</v>
      </c>
      <c r="X10" s="703"/>
      <c r="Y10" s="3589"/>
      <c r="Z10" s="3448" t="str">
        <f t="shared" si="7"/>
        <v>土地使用年限（年）</v>
      </c>
      <c r="AA10" s="704">
        <f t="shared" si="3"/>
        <v>1</v>
      </c>
      <c r="AB10" s="704">
        <f t="shared" si="4"/>
        <v>1</v>
      </c>
      <c r="AC10" s="1959">
        <f t="shared" si="5"/>
        <v>1</v>
      </c>
    </row>
    <row r="11" spans="1:29" ht="15.75" thickBot="1">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5"/>
      <c r="Q11" s="3449" t="str">
        <f t="shared" si="6"/>
        <v>容积率</v>
      </c>
      <c r="R11" s="701" t="s">
        <v>14</v>
      </c>
      <c r="S11" s="702">
        <f t="shared" si="0"/>
        <v>100</v>
      </c>
      <c r="T11" s="701" t="s">
        <v>14</v>
      </c>
      <c r="U11" s="702">
        <f t="shared" si="1"/>
        <v>100</v>
      </c>
      <c r="V11" s="701" t="s">
        <v>14</v>
      </c>
      <c r="W11" s="702">
        <f t="shared" si="2"/>
        <v>100</v>
      </c>
      <c r="X11" s="703"/>
      <c r="Y11" s="3589"/>
      <c r="Z11" s="3448"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25"/>
      <c r="Q12" s="3449">
        <f t="shared" si="6"/>
        <v>111</v>
      </c>
      <c r="R12" s="701" t="s">
        <v>14</v>
      </c>
      <c r="S12" s="702">
        <f t="shared" si="0"/>
        <v>100</v>
      </c>
      <c r="T12" s="701" t="s">
        <v>14</v>
      </c>
      <c r="U12" s="702">
        <f t="shared" si="1"/>
        <v>100</v>
      </c>
      <c r="V12" s="701" t="s">
        <v>14</v>
      </c>
      <c r="W12" s="702">
        <f t="shared" si="2"/>
        <v>100</v>
      </c>
      <c r="X12" s="703"/>
      <c r="Y12" s="3589"/>
      <c r="Z12" s="3448">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25"/>
      <c r="Q13" s="3449">
        <f t="shared" si="6"/>
        <v>111</v>
      </c>
      <c r="R13" s="701" t="s">
        <v>14</v>
      </c>
      <c r="S13" s="702">
        <f t="shared" si="0"/>
        <v>100</v>
      </c>
      <c r="T13" s="701" t="s">
        <v>14</v>
      </c>
      <c r="U13" s="702">
        <f t="shared" si="1"/>
        <v>100</v>
      </c>
      <c r="V13" s="701" t="s">
        <v>14</v>
      </c>
      <c r="W13" s="702">
        <f t="shared" si="2"/>
        <v>100</v>
      </c>
      <c r="X13" s="703"/>
      <c r="Y13" s="3589"/>
      <c r="Z13" s="3448">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25"/>
      <c r="Q14" s="3449">
        <f t="shared" si="6"/>
        <v>111</v>
      </c>
      <c r="R14" s="701" t="s">
        <v>14</v>
      </c>
      <c r="S14" s="702">
        <f t="shared" si="0"/>
        <v>100</v>
      </c>
      <c r="T14" s="701" t="s">
        <v>14</v>
      </c>
      <c r="U14" s="702">
        <f t="shared" si="1"/>
        <v>100</v>
      </c>
      <c r="V14" s="701" t="s">
        <v>14</v>
      </c>
      <c r="W14" s="702">
        <f t="shared" si="2"/>
        <v>100</v>
      </c>
      <c r="X14" s="703"/>
      <c r="Y14" s="3589"/>
      <c r="Z14" s="3448">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23" t="s">
        <v>1688</v>
      </c>
      <c r="Q15" s="3451" t="str">
        <f t="shared" si="6"/>
        <v>办公集聚程度</v>
      </c>
      <c r="R15" s="705" t="s">
        <v>14</v>
      </c>
      <c r="S15" s="706">
        <f t="shared" si="0"/>
        <v>100</v>
      </c>
      <c r="T15" s="705" t="s">
        <v>14</v>
      </c>
      <c r="U15" s="706">
        <f t="shared" si="1"/>
        <v>100</v>
      </c>
      <c r="V15" s="705" t="s">
        <v>14</v>
      </c>
      <c r="W15" s="706">
        <f t="shared" si="2"/>
        <v>100</v>
      </c>
      <c r="X15" s="3453"/>
      <c r="Y15" s="3716" t="s">
        <v>1688</v>
      </c>
      <c r="Z15" s="3454" t="str">
        <f t="shared" si="7"/>
        <v>办公集聚程度</v>
      </c>
      <c r="AA15" s="3452">
        <f t="shared" si="3"/>
        <v>1</v>
      </c>
      <c r="AB15" s="3452">
        <f t="shared" si="4"/>
        <v>1</v>
      </c>
      <c r="AC15" s="1962">
        <f t="shared" si="5"/>
        <v>1</v>
      </c>
    </row>
    <row r="16" spans="1:29" ht="15">
      <c r="A16" s="379"/>
      <c r="B16" s="578"/>
      <c r="C16" s="1904" t="s">
        <v>3451</v>
      </c>
      <c r="D16" s="399"/>
      <c r="E16" s="398" t="s">
        <v>3451</v>
      </c>
      <c r="F16" s="399"/>
      <c r="G16" s="1904" t="s">
        <v>3451</v>
      </c>
      <c r="H16" s="401"/>
      <c r="I16" s="398" t="s">
        <v>3451</v>
      </c>
      <c r="J16" s="399"/>
      <c r="K16" s="564"/>
      <c r="L16" s="2721"/>
      <c r="M16" s="2715"/>
      <c r="N16" s="2715"/>
      <c r="O16" s="2715"/>
      <c r="P16" s="3724"/>
      <c r="Q16" s="3451"/>
      <c r="R16" s="705"/>
      <c r="S16" s="706"/>
      <c r="T16" s="705"/>
      <c r="U16" s="706"/>
      <c r="V16" s="705"/>
      <c r="W16" s="706"/>
      <c r="X16" s="3453"/>
      <c r="Y16" s="3717"/>
      <c r="Z16" s="3454"/>
      <c r="AA16" s="3452">
        <v>1</v>
      </c>
      <c r="AB16" s="3452">
        <v>1</v>
      </c>
      <c r="AC16" s="1962">
        <v>1</v>
      </c>
    </row>
    <row r="17" spans="1:29" ht="71.25">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24"/>
      <c r="Q17" s="3451" t="str">
        <f>B17</f>
        <v>交通便捷度</v>
      </c>
      <c r="R17" s="705" t="s">
        <v>14</v>
      </c>
      <c r="S17" s="706">
        <f>F17</f>
        <v>100</v>
      </c>
      <c r="T17" s="705" t="s">
        <v>14</v>
      </c>
      <c r="U17" s="706">
        <f>H17</f>
        <v>100</v>
      </c>
      <c r="V17" s="705" t="s">
        <v>14</v>
      </c>
      <c r="W17" s="706">
        <f>J17</f>
        <v>100</v>
      </c>
      <c r="X17" s="3453"/>
      <c r="Y17" s="3717"/>
      <c r="Z17" s="3454" t="str">
        <f>Q17</f>
        <v>交通便捷度</v>
      </c>
      <c r="AA17" s="3452">
        <f t="shared" si="3"/>
        <v>1</v>
      </c>
      <c r="AB17" s="3452">
        <f t="shared" si="4"/>
        <v>1</v>
      </c>
      <c r="AC17" s="1962">
        <f t="shared" si="5"/>
        <v>1</v>
      </c>
    </row>
    <row r="18" spans="1:29" ht="15">
      <c r="A18" s="379"/>
      <c r="B18" s="580"/>
      <c r="C18" s="1964" t="s">
        <v>3451</v>
      </c>
      <c r="D18" s="401"/>
      <c r="E18" s="1902" t="s">
        <v>3451</v>
      </c>
      <c r="F18" s="401"/>
      <c r="G18" s="1903" t="s">
        <v>3451</v>
      </c>
      <c r="H18" s="399"/>
      <c r="I18" s="1903" t="s">
        <v>3451</v>
      </c>
      <c r="J18" s="399"/>
      <c r="K18" s="564"/>
      <c r="L18" s="2721"/>
      <c r="M18" s="2715"/>
      <c r="N18" s="2715"/>
      <c r="O18" s="2715"/>
      <c r="P18" s="3724"/>
      <c r="Q18" s="3451"/>
      <c r="R18" s="705"/>
      <c r="S18" s="706"/>
      <c r="T18" s="705"/>
      <c r="U18" s="706"/>
      <c r="V18" s="705"/>
      <c r="W18" s="706"/>
      <c r="X18" s="3453"/>
      <c r="Y18" s="3717"/>
      <c r="Z18" s="3454"/>
      <c r="AA18" s="3452">
        <v>1</v>
      </c>
      <c r="AB18" s="3452">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24"/>
      <c r="Q19" s="3451" t="str">
        <f>B19</f>
        <v>公共配套设施</v>
      </c>
      <c r="R19" s="705" t="s">
        <v>14</v>
      </c>
      <c r="S19" s="706">
        <f>F19</f>
        <v>100</v>
      </c>
      <c r="T19" s="705" t="s">
        <v>14</v>
      </c>
      <c r="U19" s="706">
        <f>H19</f>
        <v>100</v>
      </c>
      <c r="V19" s="705" t="s">
        <v>14</v>
      </c>
      <c r="W19" s="706">
        <f>J19</f>
        <v>100</v>
      </c>
      <c r="X19" s="3453"/>
      <c r="Y19" s="3717"/>
      <c r="Z19" s="3454" t="str">
        <f>Q19</f>
        <v>公共配套设施</v>
      </c>
      <c r="AA19" s="3452">
        <f t="shared" si="3"/>
        <v>1</v>
      </c>
      <c r="AB19" s="3452">
        <f t="shared" si="4"/>
        <v>1</v>
      </c>
      <c r="AC19" s="1962">
        <f t="shared" si="5"/>
        <v>1</v>
      </c>
    </row>
    <row r="20" spans="1:29" ht="15">
      <c r="A20" s="379"/>
      <c r="B20" s="580"/>
      <c r="C20" s="1904" t="s">
        <v>3451</v>
      </c>
      <c r="D20" s="399"/>
      <c r="E20" s="1897" t="s">
        <v>3451</v>
      </c>
      <c r="F20" s="399"/>
      <c r="G20" s="1898" t="s">
        <v>3451</v>
      </c>
      <c r="H20" s="399"/>
      <c r="I20" s="1898" t="s">
        <v>3451</v>
      </c>
      <c r="J20" s="399"/>
      <c r="K20" s="564"/>
      <c r="L20" s="2721"/>
      <c r="M20" s="2715"/>
      <c r="N20" s="2715"/>
      <c r="O20" s="2715"/>
      <c r="P20" s="3724"/>
      <c r="Q20" s="3451"/>
      <c r="R20" s="705"/>
      <c r="S20" s="706"/>
      <c r="T20" s="705"/>
      <c r="U20" s="706"/>
      <c r="V20" s="705"/>
      <c r="W20" s="706"/>
      <c r="X20" s="3453"/>
      <c r="Y20" s="3717"/>
      <c r="Z20" s="3454"/>
      <c r="AA20" s="3452">
        <v>1</v>
      </c>
      <c r="AB20" s="3452">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24"/>
      <c r="Q21" s="3451" t="str">
        <f>B21</f>
        <v>基础设施水平</v>
      </c>
      <c r="R21" s="705" t="s">
        <v>14</v>
      </c>
      <c r="S21" s="706">
        <f>F21</f>
        <v>100</v>
      </c>
      <c r="T21" s="705" t="s">
        <v>14</v>
      </c>
      <c r="U21" s="706">
        <f>H21</f>
        <v>100</v>
      </c>
      <c r="V21" s="705" t="s">
        <v>14</v>
      </c>
      <c r="W21" s="706">
        <f>J21</f>
        <v>100</v>
      </c>
      <c r="X21" s="3453"/>
      <c r="Y21" s="3717"/>
      <c r="Z21" s="3454" t="str">
        <f>Q21</f>
        <v>基础设施水平</v>
      </c>
      <c r="AA21" s="3452">
        <f t="shared" ref="AA21" si="8">D21/F21</f>
        <v>1</v>
      </c>
      <c r="AB21" s="3452">
        <f t="shared" ref="AB21" si="9">D21/H21</f>
        <v>1</v>
      </c>
      <c r="AC21" s="1962">
        <f t="shared" ref="AC21" si="10">D21/J21</f>
        <v>1</v>
      </c>
    </row>
    <row r="22" spans="1:29" ht="15">
      <c r="A22" s="379"/>
      <c r="B22" s="581"/>
      <c r="C22" s="1964" t="s">
        <v>3428</v>
      </c>
      <c r="D22" s="399"/>
      <c r="E22" s="398" t="s">
        <v>3428</v>
      </c>
      <c r="F22" s="399"/>
      <c r="G22" s="1904" t="s">
        <v>3428</v>
      </c>
      <c r="H22" s="399"/>
      <c r="I22" s="1904" t="s">
        <v>3428</v>
      </c>
      <c r="J22" s="399"/>
      <c r="K22" s="1130"/>
      <c r="L22" s="2721"/>
      <c r="M22" s="2715"/>
      <c r="N22" s="2715"/>
      <c r="O22" s="2715"/>
      <c r="P22" s="3724"/>
      <c r="Q22" s="3451"/>
      <c r="R22" s="705"/>
      <c r="S22" s="706"/>
      <c r="T22" s="705"/>
      <c r="U22" s="706"/>
      <c r="V22" s="705"/>
      <c r="W22" s="706"/>
      <c r="X22" s="3453"/>
      <c r="Y22" s="3717"/>
      <c r="Z22" s="3454"/>
      <c r="AA22" s="3452">
        <v>1</v>
      </c>
      <c r="AB22" s="3452">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24"/>
      <c r="Q23" s="3451" t="str">
        <f>B23</f>
        <v>环境质量</v>
      </c>
      <c r="R23" s="705" t="s">
        <v>14</v>
      </c>
      <c r="S23" s="706">
        <f>F23</f>
        <v>100</v>
      </c>
      <c r="T23" s="705" t="s">
        <v>14</v>
      </c>
      <c r="U23" s="706">
        <f>H23</f>
        <v>100</v>
      </c>
      <c r="V23" s="705" t="s">
        <v>14</v>
      </c>
      <c r="W23" s="706">
        <f>J23</f>
        <v>100</v>
      </c>
      <c r="X23" s="3453"/>
      <c r="Y23" s="3717"/>
      <c r="Z23" s="3454" t="str">
        <f>Q23</f>
        <v>环境质量</v>
      </c>
      <c r="AA23" s="3452">
        <f t="shared" si="3"/>
        <v>1</v>
      </c>
      <c r="AB23" s="3452">
        <f t="shared" si="4"/>
        <v>1</v>
      </c>
      <c r="AC23" s="1962">
        <f t="shared" si="5"/>
        <v>1</v>
      </c>
    </row>
    <row r="24" spans="1:29" ht="15">
      <c r="A24" s="379"/>
      <c r="B24" s="581"/>
      <c r="C24" s="1904" t="s">
        <v>3452</v>
      </c>
      <c r="D24" s="399"/>
      <c r="E24" s="1897" t="s">
        <v>3452</v>
      </c>
      <c r="F24" s="399"/>
      <c r="G24" s="1898" t="s">
        <v>3452</v>
      </c>
      <c r="H24" s="399"/>
      <c r="I24" s="1898" t="s">
        <v>3452</v>
      </c>
      <c r="J24" s="399"/>
      <c r="K24" s="564"/>
      <c r="L24" s="2721"/>
      <c r="M24" s="2715"/>
      <c r="N24" s="2715"/>
      <c r="O24" s="2715"/>
      <c r="P24" s="3724"/>
      <c r="Q24" s="3451"/>
      <c r="R24" s="705"/>
      <c r="S24" s="706"/>
      <c r="T24" s="705"/>
      <c r="U24" s="706"/>
      <c r="V24" s="705"/>
      <c r="W24" s="706"/>
      <c r="X24" s="3453"/>
      <c r="Y24" s="3717"/>
      <c r="Z24" s="3454"/>
      <c r="AA24" s="3452">
        <v>1</v>
      </c>
      <c r="AB24" s="3452">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24"/>
      <c r="Q25" s="3451" t="str">
        <f>B25</f>
        <v>毗邻道路的类型与等级</v>
      </c>
      <c r="R25" s="705" t="s">
        <v>14</v>
      </c>
      <c r="S25" s="706">
        <f>F25</f>
        <v>100</v>
      </c>
      <c r="T25" s="705" t="s">
        <v>14</v>
      </c>
      <c r="U25" s="706">
        <f>H25</f>
        <v>100</v>
      </c>
      <c r="V25" s="705" t="s">
        <v>14</v>
      </c>
      <c r="W25" s="706">
        <f>J25</f>
        <v>100</v>
      </c>
      <c r="X25" s="3453"/>
      <c r="Y25" s="3717"/>
      <c r="Z25" s="3454" t="str">
        <f>Q25</f>
        <v>毗邻道路的类型与等级</v>
      </c>
      <c r="AA25" s="3452">
        <f t="shared" si="3"/>
        <v>1</v>
      </c>
      <c r="AB25" s="3452">
        <f t="shared" si="4"/>
        <v>1</v>
      </c>
      <c r="AC25" s="1962">
        <f t="shared" si="5"/>
        <v>1</v>
      </c>
    </row>
    <row r="26" spans="1:29" ht="15">
      <c r="A26" s="358"/>
      <c r="B26" s="580"/>
      <c r="C26" s="582" t="s">
        <v>3453</v>
      </c>
      <c r="D26" s="386"/>
      <c r="E26" s="565" t="s">
        <v>3453</v>
      </c>
      <c r="F26" s="386"/>
      <c r="G26" s="582" t="s">
        <v>3453</v>
      </c>
      <c r="H26" s="386"/>
      <c r="I26" s="565" t="s">
        <v>3453</v>
      </c>
      <c r="J26" s="386"/>
      <c r="K26" s="564"/>
      <c r="L26" s="2721"/>
      <c r="M26" s="2715"/>
      <c r="N26" s="2715"/>
      <c r="O26" s="2715"/>
      <c r="P26" s="3724"/>
      <c r="Q26" s="3451"/>
      <c r="R26" s="705"/>
      <c r="S26" s="706"/>
      <c r="T26" s="705"/>
      <c r="U26" s="706"/>
      <c r="V26" s="705"/>
      <c r="W26" s="706"/>
      <c r="X26" s="3453"/>
      <c r="Y26" s="3717"/>
      <c r="Z26" s="3454"/>
      <c r="AA26" s="3452">
        <v>1</v>
      </c>
      <c r="AB26" s="3452">
        <v>1</v>
      </c>
      <c r="AC26" s="1962">
        <v>1</v>
      </c>
    </row>
    <row r="27" spans="1:29" ht="15">
      <c r="A27" s="379"/>
      <c r="B27" s="580" t="s">
        <v>1780</v>
      </c>
      <c r="C27" s="582" t="s">
        <v>3411</v>
      </c>
      <c r="D27" s="386">
        <v>100</v>
      </c>
      <c r="E27" s="565" t="s">
        <v>3411</v>
      </c>
      <c r="F27" s="386">
        <f>SUMIF(89:89,E27,90:90)-SUMIF(89:89,C27,90:90)+100</f>
        <v>100</v>
      </c>
      <c r="G27" s="582" t="s">
        <v>3411</v>
      </c>
      <c r="H27" s="386">
        <f>SUMIF(89:89,G27,90:90)-SUMIF(89:89,C27,90:90)+100</f>
        <v>100</v>
      </c>
      <c r="I27" s="565" t="s">
        <v>3409</v>
      </c>
      <c r="J27" s="386">
        <f>SUMIF(89:89,I27,90:90)-SUMIF(89:89,C27,90:90)+100</f>
        <v>102</v>
      </c>
      <c r="K27" s="561">
        <v>2</v>
      </c>
      <c r="L27" s="2721"/>
      <c r="M27" s="2715"/>
      <c r="N27" s="2715"/>
      <c r="O27" s="2715"/>
      <c r="P27" s="3724"/>
      <c r="Q27" s="3451" t="str">
        <f t="shared" ref="Q27:Q47" si="11">B27</f>
        <v>楼层</v>
      </c>
      <c r="R27" s="705" t="s">
        <v>14</v>
      </c>
      <c r="S27" s="706">
        <f>F27</f>
        <v>100</v>
      </c>
      <c r="T27" s="705" t="s">
        <v>14</v>
      </c>
      <c r="U27" s="706">
        <f>H27</f>
        <v>100</v>
      </c>
      <c r="V27" s="705" t="s">
        <v>14</v>
      </c>
      <c r="W27" s="706">
        <f>J27</f>
        <v>102</v>
      </c>
      <c r="X27" s="3453"/>
      <c r="Y27" s="3717"/>
      <c r="Z27" s="3454" t="str">
        <f>Q27</f>
        <v>楼层</v>
      </c>
      <c r="AA27" s="3452">
        <f t="shared" si="3"/>
        <v>1</v>
      </c>
      <c r="AB27" s="3452">
        <f t="shared" si="4"/>
        <v>1</v>
      </c>
      <c r="AC27" s="1962">
        <f t="shared" si="5"/>
        <v>0.98039215686274506</v>
      </c>
    </row>
    <row r="28" spans="1:29" s="108" customFormat="1" ht="15.75" thickBot="1">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4"/>
      <c r="Q28" s="3449" t="str">
        <f t="shared" si="11"/>
        <v>朝向</v>
      </c>
      <c r="R28" s="701" t="s">
        <v>14</v>
      </c>
      <c r="S28" s="702">
        <f>F28</f>
        <v>100</v>
      </c>
      <c r="T28" s="701" t="s">
        <v>14</v>
      </c>
      <c r="U28" s="702">
        <f>H28</f>
        <v>100</v>
      </c>
      <c r="V28" s="701" t="s">
        <v>14</v>
      </c>
      <c r="W28" s="702">
        <f>J28</f>
        <v>100</v>
      </c>
      <c r="X28" s="703"/>
      <c r="Y28" s="3717"/>
      <c r="Z28" s="3448" t="str">
        <f>Q28</f>
        <v>朝向</v>
      </c>
      <c r="AA28" s="3452">
        <f>D28/F28</f>
        <v>1</v>
      </c>
      <c r="AB28" s="3452">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4"/>
      <c r="Q29" s="3451">
        <f t="shared" si="11"/>
        <v>111</v>
      </c>
      <c r="R29" s="705" t="s">
        <v>14</v>
      </c>
      <c r="S29" s="706">
        <f t="shared" ref="S29:S47" si="12">F29</f>
        <v>100</v>
      </c>
      <c r="T29" s="705" t="s">
        <v>14</v>
      </c>
      <c r="U29" s="706">
        <f t="shared" ref="U29:U47" si="13">H29</f>
        <v>100</v>
      </c>
      <c r="V29" s="705" t="s">
        <v>14</v>
      </c>
      <c r="W29" s="706">
        <f t="shared" ref="W29:W47" si="14">J29</f>
        <v>100</v>
      </c>
      <c r="X29" s="3453"/>
      <c r="Y29" s="3717"/>
      <c r="Z29" s="3454">
        <f t="shared" ref="Z29:Z47" si="15">Q29</f>
        <v>111</v>
      </c>
      <c r="AA29" s="3452">
        <f t="shared" si="3"/>
        <v>1</v>
      </c>
      <c r="AB29" s="3452">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4"/>
      <c r="Q30" s="3451">
        <f t="shared" si="11"/>
        <v>111</v>
      </c>
      <c r="R30" s="705" t="s">
        <v>14</v>
      </c>
      <c r="S30" s="706">
        <f t="shared" si="12"/>
        <v>100</v>
      </c>
      <c r="T30" s="705" t="s">
        <v>14</v>
      </c>
      <c r="U30" s="706">
        <f t="shared" si="13"/>
        <v>100</v>
      </c>
      <c r="V30" s="705" t="s">
        <v>14</v>
      </c>
      <c r="W30" s="706">
        <f t="shared" si="14"/>
        <v>100</v>
      </c>
      <c r="X30" s="3453"/>
      <c r="Y30" s="3717"/>
      <c r="Z30" s="3454">
        <f t="shared" si="15"/>
        <v>111</v>
      </c>
      <c r="AA30" s="3452">
        <f t="shared" si="3"/>
        <v>1</v>
      </c>
      <c r="AB30" s="3452">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4"/>
      <c r="Q31" s="3451">
        <f t="shared" si="11"/>
        <v>111</v>
      </c>
      <c r="R31" s="705" t="s">
        <v>14</v>
      </c>
      <c r="S31" s="706">
        <f t="shared" si="12"/>
        <v>100</v>
      </c>
      <c r="T31" s="705" t="s">
        <v>14</v>
      </c>
      <c r="U31" s="706">
        <f t="shared" si="13"/>
        <v>100</v>
      </c>
      <c r="V31" s="705" t="s">
        <v>14</v>
      </c>
      <c r="W31" s="706">
        <f t="shared" si="14"/>
        <v>100</v>
      </c>
      <c r="X31" s="3453"/>
      <c r="Y31" s="3717"/>
      <c r="Z31" s="3454">
        <f t="shared" si="15"/>
        <v>111</v>
      </c>
      <c r="AA31" s="3452">
        <f t="shared" si="3"/>
        <v>1</v>
      </c>
      <c r="AB31" s="3452">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4"/>
      <c r="Q32" s="3451">
        <f t="shared" si="11"/>
        <v>111</v>
      </c>
      <c r="R32" s="705" t="s">
        <v>14</v>
      </c>
      <c r="S32" s="706">
        <f t="shared" si="12"/>
        <v>100</v>
      </c>
      <c r="T32" s="705" t="s">
        <v>14</v>
      </c>
      <c r="U32" s="706">
        <f t="shared" si="13"/>
        <v>100</v>
      </c>
      <c r="V32" s="705" t="s">
        <v>14</v>
      </c>
      <c r="W32" s="706">
        <f t="shared" si="14"/>
        <v>100</v>
      </c>
      <c r="X32" s="3453"/>
      <c r="Y32" s="3717"/>
      <c r="Z32" s="3454">
        <f t="shared" si="15"/>
        <v>111</v>
      </c>
      <c r="AA32" s="3452">
        <f t="shared" si="3"/>
        <v>1</v>
      </c>
      <c r="AB32" s="3452">
        <f t="shared" si="4"/>
        <v>1</v>
      </c>
      <c r="AC32" s="1962">
        <f t="shared" si="5"/>
        <v>1</v>
      </c>
    </row>
    <row r="33" spans="1:29" ht="15">
      <c r="A33" s="391" t="s">
        <v>1691</v>
      </c>
      <c r="B33" s="63" t="s">
        <v>1814</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c r="L33" s="2721"/>
      <c r="M33" s="2715"/>
      <c r="N33" s="2715"/>
      <c r="O33" s="2715"/>
      <c r="P33" s="3718" t="s">
        <v>1693</v>
      </c>
      <c r="Q33" s="3451" t="str">
        <f t="shared" si="11"/>
        <v>建筑类型</v>
      </c>
      <c r="R33" s="705" t="s">
        <v>14</v>
      </c>
      <c r="S33" s="706">
        <f t="shared" si="12"/>
        <v>100</v>
      </c>
      <c r="T33" s="705" t="s">
        <v>14</v>
      </c>
      <c r="U33" s="706">
        <f t="shared" si="13"/>
        <v>100</v>
      </c>
      <c r="V33" s="705" t="s">
        <v>14</v>
      </c>
      <c r="W33" s="706">
        <f t="shared" si="14"/>
        <v>100</v>
      </c>
      <c r="X33" s="3453"/>
      <c r="Y33" s="3721" t="s">
        <v>1693</v>
      </c>
      <c r="Z33" s="3454" t="str">
        <f t="shared" si="15"/>
        <v>建筑类型</v>
      </c>
      <c r="AA33" s="3452">
        <f t="shared" si="3"/>
        <v>1</v>
      </c>
      <c r="AB33" s="3452">
        <f t="shared" si="4"/>
        <v>1</v>
      </c>
      <c r="AC33" s="1962">
        <f t="shared" si="5"/>
        <v>1</v>
      </c>
    </row>
    <row r="34" spans="1:29" s="422" customFormat="1" ht="15">
      <c r="A34" s="419"/>
      <c r="B34" s="375" t="s">
        <v>1694</v>
      </c>
      <c r="C34" s="420">
        <f>D3</f>
        <v>58.44</v>
      </c>
      <c r="D34" s="127">
        <v>100</v>
      </c>
      <c r="E34" s="381">
        <v>58.31</v>
      </c>
      <c r="F34" s="376">
        <f>LOOKUP(E34,104:104,105:105)-LOOKUP(C34,104:104,105:105)+100</f>
        <v>100</v>
      </c>
      <c r="G34" s="380">
        <v>80.25</v>
      </c>
      <c r="H34" s="127">
        <f>LOOKUP(G34,104:104,105:105)-LOOKUP(C34,104:104,105:105)+100</f>
        <v>100</v>
      </c>
      <c r="I34" s="380">
        <v>68.41</v>
      </c>
      <c r="J34" s="127">
        <f>LOOKUP(I34,104:104,105:105)-LOOKUP(C34,104:104,105:105)+100</f>
        <v>100</v>
      </c>
      <c r="K34" s="562"/>
      <c r="L34" s="2720"/>
      <c r="M34" s="2722"/>
      <c r="N34" s="2722"/>
      <c r="O34" s="2722"/>
      <c r="P34" s="3719"/>
      <c r="Q34" s="707" t="str">
        <f t="shared" si="11"/>
        <v>项目建筑规模</v>
      </c>
      <c r="R34" s="708" t="s">
        <v>14</v>
      </c>
      <c r="S34" s="709">
        <f t="shared" si="12"/>
        <v>100</v>
      </c>
      <c r="T34" s="708" t="s">
        <v>14</v>
      </c>
      <c r="U34" s="709">
        <f t="shared" si="13"/>
        <v>100</v>
      </c>
      <c r="V34" s="708" t="s">
        <v>14</v>
      </c>
      <c r="W34" s="709">
        <f t="shared" si="14"/>
        <v>100</v>
      </c>
      <c r="X34" s="710"/>
      <c r="Y34" s="3721"/>
      <c r="Z34" s="711" t="str">
        <f t="shared" si="15"/>
        <v>项目建筑规模</v>
      </c>
      <c r="AA34" s="3452">
        <f t="shared" si="3"/>
        <v>1</v>
      </c>
      <c r="AB34" s="3452">
        <f t="shared" si="4"/>
        <v>1</v>
      </c>
      <c r="AC34" s="1962">
        <f t="shared" si="5"/>
        <v>1</v>
      </c>
    </row>
    <row r="35" spans="1:29" ht="15">
      <c r="A35" s="423"/>
      <c r="B35" s="375" t="s">
        <v>1695</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v>2</v>
      </c>
      <c r="L35" s="2721"/>
      <c r="M35" s="2715"/>
      <c r="N35" s="2715"/>
      <c r="O35" s="2715"/>
      <c r="P35" s="3719"/>
      <c r="Q35" s="3451" t="str">
        <f t="shared" si="11"/>
        <v>建筑结构</v>
      </c>
      <c r="R35" s="705" t="s">
        <v>14</v>
      </c>
      <c r="S35" s="706">
        <f t="shared" si="12"/>
        <v>100</v>
      </c>
      <c r="T35" s="705" t="s">
        <v>14</v>
      </c>
      <c r="U35" s="706">
        <f t="shared" si="13"/>
        <v>100</v>
      </c>
      <c r="V35" s="705" t="s">
        <v>14</v>
      </c>
      <c r="W35" s="706">
        <f t="shared" si="14"/>
        <v>100</v>
      </c>
      <c r="X35" s="3453"/>
      <c r="Y35" s="3721"/>
      <c r="Z35" s="3454" t="str">
        <f t="shared" si="15"/>
        <v>建筑结构</v>
      </c>
      <c r="AA35" s="3452">
        <f t="shared" si="3"/>
        <v>1</v>
      </c>
      <c r="AB35" s="3452">
        <f t="shared" si="4"/>
        <v>1</v>
      </c>
      <c r="AC35" s="1962">
        <f t="shared" si="5"/>
        <v>1</v>
      </c>
    </row>
    <row r="36" spans="1:29" ht="15">
      <c r="A36" s="423"/>
      <c r="B36" s="375" t="s">
        <v>1782</v>
      </c>
      <c r="C36" s="411" t="s">
        <v>3450</v>
      </c>
      <c r="D36" s="386">
        <v>100</v>
      </c>
      <c r="E36" s="411" t="s">
        <v>3450</v>
      </c>
      <c r="F36" s="412">
        <f>SUMIF(108:108,E36,109:109)-SUMIF(108:108,C36,109:109)+100</f>
        <v>100</v>
      </c>
      <c r="G36" s="411" t="s">
        <v>3450</v>
      </c>
      <c r="H36" s="386">
        <f>SUMIF(108:108,G36,109:109)-SUMIF(108:108,C36,109:109)+100</f>
        <v>100</v>
      </c>
      <c r="I36" s="411" t="s">
        <v>3450</v>
      </c>
      <c r="J36" s="386">
        <f>SUMIF(108:108,I36,109:109)-SUMIF(108:108,C36,109:109)+100</f>
        <v>100</v>
      </c>
      <c r="K36" s="561">
        <v>2</v>
      </c>
      <c r="L36" s="2721"/>
      <c r="M36" s="2715"/>
      <c r="N36" s="2715"/>
      <c r="O36" s="2715"/>
      <c r="P36" s="3719"/>
      <c r="Q36" s="3451" t="str">
        <f t="shared" si="11"/>
        <v>公共部分装修</v>
      </c>
      <c r="R36" s="705" t="s">
        <v>14</v>
      </c>
      <c r="S36" s="706">
        <f t="shared" si="12"/>
        <v>100</v>
      </c>
      <c r="T36" s="705" t="s">
        <v>14</v>
      </c>
      <c r="U36" s="706">
        <f t="shared" si="13"/>
        <v>100</v>
      </c>
      <c r="V36" s="705" t="s">
        <v>14</v>
      </c>
      <c r="W36" s="706">
        <f t="shared" si="14"/>
        <v>100</v>
      </c>
      <c r="X36" s="3453"/>
      <c r="Y36" s="3721"/>
      <c r="Z36" s="3454" t="str">
        <f t="shared" si="15"/>
        <v>公共部分装修</v>
      </c>
      <c r="AA36" s="3452">
        <f t="shared" si="3"/>
        <v>1</v>
      </c>
      <c r="AB36" s="3452">
        <f t="shared" si="4"/>
        <v>1</v>
      </c>
      <c r="AC36" s="1962">
        <f t="shared" si="5"/>
        <v>1</v>
      </c>
    </row>
    <row r="37" spans="1:29" ht="15">
      <c r="A37" s="423"/>
      <c r="B37" s="375" t="s">
        <v>1783</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v>1</v>
      </c>
      <c r="L37" s="2721"/>
      <c r="M37" s="2715"/>
      <c r="N37" s="2715"/>
      <c r="O37" s="2715"/>
      <c r="P37" s="3719"/>
      <c r="Q37" s="3451" t="str">
        <f t="shared" si="11"/>
        <v>成新度</v>
      </c>
      <c r="R37" s="705" t="s">
        <v>14</v>
      </c>
      <c r="S37" s="706">
        <f t="shared" si="12"/>
        <v>100</v>
      </c>
      <c r="T37" s="705" t="s">
        <v>14</v>
      </c>
      <c r="U37" s="706">
        <f t="shared" si="13"/>
        <v>100</v>
      </c>
      <c r="V37" s="705" t="s">
        <v>14</v>
      </c>
      <c r="W37" s="706">
        <f t="shared" si="14"/>
        <v>100</v>
      </c>
      <c r="X37" s="3453"/>
      <c r="Y37" s="3721"/>
      <c r="Z37" s="3454" t="str">
        <f t="shared" si="15"/>
        <v>成新度</v>
      </c>
      <c r="AA37" s="3452">
        <f t="shared" si="3"/>
        <v>1</v>
      </c>
      <c r="AB37" s="3452">
        <f t="shared" si="4"/>
        <v>1</v>
      </c>
      <c r="AC37" s="1962">
        <f t="shared" si="5"/>
        <v>1</v>
      </c>
    </row>
    <row r="38" spans="1:29" s="108" customFormat="1" ht="15">
      <c r="A38" s="424"/>
      <c r="B38" s="375" t="s">
        <v>1815</v>
      </c>
      <c r="C38" s="411" t="s">
        <v>3419</v>
      </c>
      <c r="D38" s="127">
        <v>100</v>
      </c>
      <c r="E38" s="411" t="s">
        <v>3419</v>
      </c>
      <c r="F38" s="412">
        <f>SUMIF(113:113,E38,114:114)-SUMIF(113:113,C38,114:114)+100</f>
        <v>100</v>
      </c>
      <c r="G38" s="411" t="s">
        <v>3419</v>
      </c>
      <c r="H38" s="386">
        <f>SUMIF(113:113,G38,114:114)-SUMIF(113:113,C38,114:114)+100</f>
        <v>100</v>
      </c>
      <c r="I38" s="411" t="s">
        <v>3419</v>
      </c>
      <c r="J38" s="386">
        <f>SUMIF(113:113,I38,114:114)-SUMIF(113:113,C38,114:114)+100</f>
        <v>100</v>
      </c>
      <c r="K38" s="561">
        <v>2</v>
      </c>
      <c r="L38" s="2716"/>
      <c r="M38" s="2717"/>
      <c r="N38" s="2717"/>
      <c r="O38" s="2717"/>
      <c r="P38" s="3719"/>
      <c r="Q38" s="3449" t="str">
        <f t="shared" si="11"/>
        <v>写字楼等级</v>
      </c>
      <c r="R38" s="701" t="s">
        <v>14</v>
      </c>
      <c r="S38" s="702">
        <f t="shared" si="12"/>
        <v>100</v>
      </c>
      <c r="T38" s="701" t="s">
        <v>14</v>
      </c>
      <c r="U38" s="702">
        <f t="shared" si="13"/>
        <v>100</v>
      </c>
      <c r="V38" s="701" t="s">
        <v>14</v>
      </c>
      <c r="W38" s="702">
        <f t="shared" si="14"/>
        <v>100</v>
      </c>
      <c r="X38" s="703"/>
      <c r="Y38" s="3721"/>
      <c r="Z38" s="3448" t="str">
        <f t="shared" si="15"/>
        <v>写字楼等级</v>
      </c>
      <c r="AA38" s="704">
        <f t="shared" si="3"/>
        <v>1</v>
      </c>
      <c r="AB38" s="704">
        <f t="shared" si="4"/>
        <v>1</v>
      </c>
      <c r="AC38" s="1959">
        <f t="shared" si="5"/>
        <v>1</v>
      </c>
    </row>
    <row r="39" spans="1:29" ht="15">
      <c r="A39" s="423"/>
      <c r="B39" s="375" t="s">
        <v>1816</v>
      </c>
      <c r="C39" s="411" t="s">
        <v>3447</v>
      </c>
      <c r="D39" s="386">
        <v>100</v>
      </c>
      <c r="E39" s="411" t="s">
        <v>3447</v>
      </c>
      <c r="F39" s="412">
        <f>SUMIF(115:115,E39,116:116)-SUMIF(115:115,C39,116:116)+100</f>
        <v>100</v>
      </c>
      <c r="G39" s="411" t="s">
        <v>3447</v>
      </c>
      <c r="H39" s="386">
        <f>SUMIF(115:115,G39,116:116)-SUMIF(115:115,C39,116:116)+100</f>
        <v>100</v>
      </c>
      <c r="I39" s="411" t="s">
        <v>3447</v>
      </c>
      <c r="J39" s="386">
        <f>SUMIF(115:115,I39,116:116)-SUMIF(115:115,C39,116:116)+100</f>
        <v>100</v>
      </c>
      <c r="K39" s="561">
        <v>2</v>
      </c>
      <c r="L39" s="2721"/>
      <c r="M39" s="2715"/>
      <c r="N39" s="2715"/>
      <c r="O39" s="2715"/>
      <c r="P39" s="3719" t="s">
        <v>1693</v>
      </c>
      <c r="Q39" s="3451" t="str">
        <f t="shared" si="11"/>
        <v>物业管理</v>
      </c>
      <c r="R39" s="705" t="s">
        <v>14</v>
      </c>
      <c r="S39" s="706">
        <f t="shared" si="12"/>
        <v>100</v>
      </c>
      <c r="T39" s="705" t="s">
        <v>14</v>
      </c>
      <c r="U39" s="706">
        <f t="shared" si="13"/>
        <v>100</v>
      </c>
      <c r="V39" s="705" t="s">
        <v>14</v>
      </c>
      <c r="W39" s="706">
        <f t="shared" si="14"/>
        <v>100</v>
      </c>
      <c r="X39" s="3453"/>
      <c r="Y39" s="3721" t="s">
        <v>1693</v>
      </c>
      <c r="Z39" s="3454" t="str">
        <f t="shared" si="15"/>
        <v>物业管理</v>
      </c>
      <c r="AA39" s="3452">
        <f t="shared" si="3"/>
        <v>1</v>
      </c>
      <c r="AB39" s="3452">
        <f t="shared" si="4"/>
        <v>1</v>
      </c>
      <c r="AC39" s="1962">
        <f t="shared" si="5"/>
        <v>1</v>
      </c>
    </row>
    <row r="40" spans="1:29" ht="15">
      <c r="A40" s="423"/>
      <c r="B40" s="375" t="s">
        <v>1784</v>
      </c>
      <c r="C40" s="411" t="s">
        <v>3431</v>
      </c>
      <c r="D40" s="386">
        <v>100</v>
      </c>
      <c r="E40" s="411" t="s">
        <v>3431</v>
      </c>
      <c r="F40" s="412">
        <f>SUMIF(117:117,E40,118:118)-SUMIF(117:117,C40,118:118)+100</f>
        <v>100</v>
      </c>
      <c r="G40" s="411" t="s">
        <v>3431</v>
      </c>
      <c r="H40" s="386">
        <f>SUMIF(117:117,G40,118:118)-SUMIF(117:117,C40,118:118)+100</f>
        <v>100</v>
      </c>
      <c r="I40" s="411" t="s">
        <v>3431</v>
      </c>
      <c r="J40" s="386">
        <f>SUMIF(117:117,I40,118:118)-SUMIF(117:117,C40,118:118)+100</f>
        <v>100</v>
      </c>
      <c r="K40" s="561">
        <v>1</v>
      </c>
      <c r="L40" s="2721"/>
      <c r="M40" s="2715"/>
      <c r="N40" s="2715"/>
      <c r="O40" s="2715"/>
      <c r="P40" s="3719"/>
      <c r="Q40" s="3451" t="str">
        <f t="shared" si="11"/>
        <v>市政基础设施</v>
      </c>
      <c r="R40" s="705" t="s">
        <v>14</v>
      </c>
      <c r="S40" s="706">
        <f t="shared" si="12"/>
        <v>100</v>
      </c>
      <c r="T40" s="705" t="s">
        <v>14</v>
      </c>
      <c r="U40" s="706">
        <f t="shared" si="13"/>
        <v>100</v>
      </c>
      <c r="V40" s="705" t="s">
        <v>14</v>
      </c>
      <c r="W40" s="706">
        <f t="shared" si="14"/>
        <v>100</v>
      </c>
      <c r="X40" s="3453"/>
      <c r="Y40" s="3721"/>
      <c r="Z40" s="3454" t="str">
        <f t="shared" si="15"/>
        <v>市政基础设施</v>
      </c>
      <c r="AA40" s="3452">
        <f t="shared" si="3"/>
        <v>1</v>
      </c>
      <c r="AB40" s="3452">
        <f t="shared" si="4"/>
        <v>1</v>
      </c>
      <c r="AC40" s="1962">
        <f t="shared" si="5"/>
        <v>1</v>
      </c>
    </row>
    <row r="41" spans="1:29" ht="15">
      <c r="A41" s="423"/>
      <c r="B41" s="375" t="s">
        <v>1786</v>
      </c>
      <c r="C41" s="565" t="s">
        <v>3442</v>
      </c>
      <c r="D41" s="386">
        <v>100</v>
      </c>
      <c r="E41" s="565" t="s">
        <v>3442</v>
      </c>
      <c r="F41" s="412">
        <f>SUMIF(119:119,E41,120:120)-SUMIF(119:119,C41,120:120)+100</f>
        <v>100</v>
      </c>
      <c r="G41" s="565" t="s">
        <v>3442</v>
      </c>
      <c r="H41" s="386">
        <f>SUMIF(119:119,G41,120:120)-SUMIF(119:119,C41,120:120)+100</f>
        <v>100</v>
      </c>
      <c r="I41" s="565" t="s">
        <v>3442</v>
      </c>
      <c r="J41" s="386">
        <f>SUMIF(119:119,I41,120:120)-SUMIF(119:119,C41,120:120)+100</f>
        <v>100</v>
      </c>
      <c r="K41" s="561">
        <v>1</v>
      </c>
      <c r="L41" s="2721"/>
      <c r="M41" s="2715"/>
      <c r="N41" s="2715"/>
      <c r="O41" s="2715"/>
      <c r="P41" s="3719"/>
      <c r="Q41" s="3451" t="str">
        <f t="shared" si="11"/>
        <v>层高</v>
      </c>
      <c r="R41" s="705" t="s">
        <v>14</v>
      </c>
      <c r="S41" s="706">
        <f t="shared" si="12"/>
        <v>100</v>
      </c>
      <c r="T41" s="705" t="s">
        <v>14</v>
      </c>
      <c r="U41" s="706">
        <f t="shared" si="13"/>
        <v>100</v>
      </c>
      <c r="V41" s="705" t="s">
        <v>14</v>
      </c>
      <c r="W41" s="706">
        <f t="shared" si="14"/>
        <v>100</v>
      </c>
      <c r="X41" s="3453"/>
      <c r="Y41" s="3721"/>
      <c r="Z41" s="3454" t="str">
        <f t="shared" si="15"/>
        <v>层高</v>
      </c>
      <c r="AA41" s="3452">
        <f t="shared" si="3"/>
        <v>1</v>
      </c>
      <c r="AB41" s="3452">
        <f t="shared" si="4"/>
        <v>1</v>
      </c>
      <c r="AC41" s="1962">
        <f t="shared" si="5"/>
        <v>1</v>
      </c>
    </row>
    <row r="42" spans="1:29" s="422" customFormat="1" ht="15">
      <c r="A42" s="419"/>
      <c r="B42" s="3450" t="s">
        <v>1817</v>
      </c>
      <c r="C42" s="385">
        <f>D3</f>
        <v>58.44</v>
      </c>
      <c r="D42" s="386">
        <v>100</v>
      </c>
      <c r="E42" s="385">
        <v>58.31</v>
      </c>
      <c r="F42" s="412">
        <f>SUMIF(121:121,E42,122:122)-SUMIF(121:121,C42,122:122)+100</f>
        <v>100</v>
      </c>
      <c r="G42" s="385">
        <v>80.25</v>
      </c>
      <c r="H42" s="386">
        <f>SUMIF(121:121,G42,122:122)-SUMIF(121:121,C42,122:122)+100</f>
        <v>100</v>
      </c>
      <c r="I42" s="385">
        <v>68.41</v>
      </c>
      <c r="J42" s="386">
        <f>SUMIF(121:121,I42,122:122)-SUMIF(121:121,C42,122:122)+100</f>
        <v>100</v>
      </c>
      <c r="K42" s="562"/>
      <c r="L42" s="2720"/>
      <c r="M42" s="2722"/>
      <c r="N42" s="2722"/>
      <c r="O42" s="2722"/>
      <c r="P42" s="3719"/>
      <c r="Q42" s="707" t="str">
        <f t="shared" si="11"/>
        <v>单套建筑面积</v>
      </c>
      <c r="R42" s="708" t="s">
        <v>14</v>
      </c>
      <c r="S42" s="709">
        <f t="shared" si="12"/>
        <v>100</v>
      </c>
      <c r="T42" s="708" t="s">
        <v>14</v>
      </c>
      <c r="U42" s="709">
        <f t="shared" si="13"/>
        <v>100</v>
      </c>
      <c r="V42" s="708" t="s">
        <v>14</v>
      </c>
      <c r="W42" s="709">
        <f t="shared" si="14"/>
        <v>100</v>
      </c>
      <c r="X42" s="710"/>
      <c r="Y42" s="3721"/>
      <c r="Z42" s="711" t="str">
        <f t="shared" si="15"/>
        <v>单套建筑面积</v>
      </c>
      <c r="AA42" s="3452">
        <f t="shared" si="3"/>
        <v>1</v>
      </c>
      <c r="AB42" s="3452">
        <f t="shared" si="4"/>
        <v>1</v>
      </c>
      <c r="AC42" s="1962">
        <f t="shared" si="5"/>
        <v>1</v>
      </c>
    </row>
    <row r="43" spans="1:29" ht="15">
      <c r="A43" s="423"/>
      <c r="B43" s="375" t="s">
        <v>1789</v>
      </c>
      <c r="C43" s="411" t="s">
        <v>3456</v>
      </c>
      <c r="D43" s="386">
        <v>100</v>
      </c>
      <c r="E43" s="411" t="s">
        <v>3450</v>
      </c>
      <c r="F43" s="412">
        <f>SUMIF(123:123,E43,124:124)-SUMIF(123:123,C43,124:124)+100</f>
        <v>102</v>
      </c>
      <c r="G43" s="411" t="s">
        <v>3450</v>
      </c>
      <c r="H43" s="386">
        <f>SUMIF(123:123,G43,124:124)-SUMIF(123:123,C43,124:124)+100</f>
        <v>102</v>
      </c>
      <c r="I43" s="411" t="s">
        <v>3450</v>
      </c>
      <c r="J43" s="386">
        <f>SUMIF(123:123,I43,124:124)-SUMIF(123:123,C43,124:124)+100</f>
        <v>102</v>
      </c>
      <c r="K43" s="561">
        <v>2</v>
      </c>
      <c r="L43" s="2721"/>
      <c r="M43" s="2715"/>
      <c r="N43" s="2715"/>
      <c r="O43" s="2715"/>
      <c r="P43" s="3719"/>
      <c r="Q43" s="3451" t="str">
        <f t="shared" si="11"/>
        <v>内部装修</v>
      </c>
      <c r="R43" s="705" t="s">
        <v>14</v>
      </c>
      <c r="S43" s="706">
        <f t="shared" si="12"/>
        <v>102</v>
      </c>
      <c r="T43" s="705" t="s">
        <v>14</v>
      </c>
      <c r="U43" s="706">
        <f t="shared" si="13"/>
        <v>102</v>
      </c>
      <c r="V43" s="705" t="s">
        <v>14</v>
      </c>
      <c r="W43" s="706">
        <f t="shared" si="14"/>
        <v>102</v>
      </c>
      <c r="X43" s="3453"/>
      <c r="Y43" s="3721"/>
      <c r="Z43" s="3454" t="str">
        <f t="shared" si="15"/>
        <v>内部装修</v>
      </c>
      <c r="AA43" s="3452">
        <f t="shared" si="3"/>
        <v>0.98039215686274506</v>
      </c>
      <c r="AB43" s="3452">
        <f t="shared" si="4"/>
        <v>0.98039215686274506</v>
      </c>
      <c r="AC43" s="1962">
        <f t="shared" si="5"/>
        <v>0.98039215686274506</v>
      </c>
    </row>
    <row r="44" spans="1:29" ht="15.75" thickBot="1">
      <c r="A44" s="423"/>
      <c r="B44" s="375" t="s">
        <v>1704</v>
      </c>
      <c r="C44" s="411" t="s">
        <v>3451</v>
      </c>
      <c r="D44" s="386">
        <v>100</v>
      </c>
      <c r="E44" s="1906" t="s">
        <v>3451</v>
      </c>
      <c r="F44" s="412">
        <f>SUMIF(125:125,E44,126:126)-SUMIF(125:125,C44,126:126)+100</f>
        <v>100</v>
      </c>
      <c r="G44" s="1906" t="s">
        <v>3451</v>
      </c>
      <c r="H44" s="386">
        <f>SUMIF(125:125,G44,126:126)-SUMIF(125:125,C44,126:126)+100</f>
        <v>100</v>
      </c>
      <c r="I44" s="1906" t="s">
        <v>3451</v>
      </c>
      <c r="J44" s="386">
        <f>SUMIF(125:125,I44,126:126)-SUMIF(125:125,C44,126:126)+100</f>
        <v>100</v>
      </c>
      <c r="K44" s="561">
        <v>2</v>
      </c>
      <c r="L44" s="2721"/>
      <c r="M44" s="2715"/>
      <c r="N44" s="2715"/>
      <c r="O44" s="2715"/>
      <c r="P44" s="3719"/>
      <c r="Q44" s="3451" t="str">
        <f t="shared" si="11"/>
        <v>内部装修维护情况</v>
      </c>
      <c r="R44" s="705" t="s">
        <v>14</v>
      </c>
      <c r="S44" s="706">
        <f t="shared" si="12"/>
        <v>100</v>
      </c>
      <c r="T44" s="705" t="s">
        <v>14</v>
      </c>
      <c r="U44" s="706">
        <f t="shared" si="13"/>
        <v>100</v>
      </c>
      <c r="V44" s="705" t="s">
        <v>14</v>
      </c>
      <c r="W44" s="706">
        <f t="shared" si="14"/>
        <v>100</v>
      </c>
      <c r="X44" s="3453"/>
      <c r="Y44" s="3721"/>
      <c r="Z44" s="3454" t="str">
        <f t="shared" si="15"/>
        <v>内部装修维护情况</v>
      </c>
      <c r="AA44" s="3452">
        <f t="shared" si="3"/>
        <v>1</v>
      </c>
      <c r="AB44" s="3452">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9"/>
      <c r="Q45" s="3449">
        <f t="shared" si="11"/>
        <v>111</v>
      </c>
      <c r="R45" s="701" t="s">
        <v>14</v>
      </c>
      <c r="S45" s="702">
        <f t="shared" si="12"/>
        <v>100</v>
      </c>
      <c r="T45" s="701" t="s">
        <v>14</v>
      </c>
      <c r="U45" s="702">
        <f t="shared" si="13"/>
        <v>100</v>
      </c>
      <c r="V45" s="701" t="s">
        <v>14</v>
      </c>
      <c r="W45" s="702">
        <f t="shared" si="14"/>
        <v>100</v>
      </c>
      <c r="X45" s="703"/>
      <c r="Y45" s="3721"/>
      <c r="Z45" s="3448">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9"/>
      <c r="Q46" s="3451">
        <f t="shared" si="11"/>
        <v>111</v>
      </c>
      <c r="R46" s="705" t="s">
        <v>14</v>
      </c>
      <c r="S46" s="706">
        <f t="shared" si="12"/>
        <v>100</v>
      </c>
      <c r="T46" s="705" t="s">
        <v>14</v>
      </c>
      <c r="U46" s="706">
        <f t="shared" si="13"/>
        <v>100</v>
      </c>
      <c r="V46" s="705" t="s">
        <v>14</v>
      </c>
      <c r="W46" s="706">
        <f t="shared" si="14"/>
        <v>100</v>
      </c>
      <c r="X46" s="3453"/>
      <c r="Y46" s="3721"/>
      <c r="Z46" s="3454">
        <f t="shared" si="15"/>
        <v>111</v>
      </c>
      <c r="AA46" s="3452">
        <f t="shared" si="3"/>
        <v>1</v>
      </c>
      <c r="AB46" s="3452">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0"/>
      <c r="Q47" s="3451">
        <f t="shared" si="11"/>
        <v>111</v>
      </c>
      <c r="R47" s="705" t="s">
        <v>14</v>
      </c>
      <c r="S47" s="706">
        <f t="shared" si="12"/>
        <v>100</v>
      </c>
      <c r="T47" s="705" t="s">
        <v>14</v>
      </c>
      <c r="U47" s="706">
        <f t="shared" si="13"/>
        <v>100</v>
      </c>
      <c r="V47" s="705" t="s">
        <v>14</v>
      </c>
      <c r="W47" s="706">
        <f t="shared" si="14"/>
        <v>100</v>
      </c>
      <c r="X47" s="3453"/>
      <c r="Y47" s="3722"/>
      <c r="Z47" s="3454">
        <f t="shared" si="15"/>
        <v>111</v>
      </c>
      <c r="AA47" s="3452">
        <f t="shared" si="3"/>
        <v>1</v>
      </c>
      <c r="AB47" s="3452">
        <f t="shared" si="4"/>
        <v>1</v>
      </c>
      <c r="AC47" s="1962">
        <f t="shared" si="5"/>
        <v>1</v>
      </c>
    </row>
    <row r="48" spans="1:29" ht="15">
      <c r="A48" s="430" t="s">
        <v>1705</v>
      </c>
      <c r="B48" s="431"/>
      <c r="C48" s="1154" t="s">
        <v>0</v>
      </c>
      <c r="D48" s="1155"/>
      <c r="E48" s="1156">
        <v>40131</v>
      </c>
      <c r="F48" s="1157"/>
      <c r="G48" s="1158">
        <v>39876</v>
      </c>
      <c r="H48" s="1159"/>
      <c r="I48" s="1156">
        <v>43854</v>
      </c>
      <c r="J48" s="436"/>
      <c r="K48" s="714"/>
      <c r="L48" s="2723"/>
      <c r="M48" s="2715"/>
      <c r="N48" s="2715"/>
      <c r="O48" s="2715"/>
      <c r="P48" s="3725" t="str">
        <f>A48</f>
        <v>成交单价（元/平方米）</v>
      </c>
      <c r="Q48" s="3714"/>
      <c r="R48" s="3715">
        <f>E48</f>
        <v>40131</v>
      </c>
      <c r="S48" s="3715"/>
      <c r="T48" s="3715">
        <f>G48</f>
        <v>39876</v>
      </c>
      <c r="U48" s="3715"/>
      <c r="V48" s="3715">
        <f>I48</f>
        <v>43854</v>
      </c>
      <c r="W48" s="3715"/>
      <c r="X48" s="397"/>
      <c r="Y48" s="712"/>
      <c r="Z48" s="397"/>
      <c r="AA48" s="397"/>
      <c r="AB48" s="397"/>
      <c r="AC48" s="578"/>
    </row>
    <row r="49" spans="1:29" ht="15.75" thickBot="1">
      <c r="A49" s="437" t="s">
        <v>1790</v>
      </c>
      <c r="B49" s="438"/>
      <c r="C49" s="1160">
        <f>R50</f>
        <v>39409</v>
      </c>
      <c r="D49" s="2317" t="s">
        <v>2134</v>
      </c>
      <c r="E49" s="1161">
        <f>R49</f>
        <v>38573</v>
      </c>
      <c r="F49" s="2318"/>
      <c r="G49" s="1160">
        <f>T49</f>
        <v>38328</v>
      </c>
      <c r="H49" s="2318"/>
      <c r="I49" s="1161">
        <f>V49</f>
        <v>41325</v>
      </c>
      <c r="J49" s="2318"/>
      <c r="K49" s="2320">
        <f>F49+H49+J49</f>
        <v>0</v>
      </c>
      <c r="L49" s="2723"/>
      <c r="M49" s="2715"/>
      <c r="N49" s="2715"/>
      <c r="O49" s="2715"/>
      <c r="P49" s="3725" t="str">
        <f>A49</f>
        <v>比较价值（元/平方米）</v>
      </c>
      <c r="Q49" s="3714"/>
      <c r="R49" s="3715">
        <f>IF(F1="售价",ROUND(PRODUCT(R48,AA7:AA47),0),ROUND(PRODUCT(R48,AA7:AA47),1))</f>
        <v>38573</v>
      </c>
      <c r="S49" s="3715"/>
      <c r="T49" s="3715">
        <f>IF(F1="售价",ROUND(PRODUCT(T48,AB7:AB47),0),ROUND(PRODUCT(T48,AB7:AB47),1))</f>
        <v>38328</v>
      </c>
      <c r="U49" s="3715"/>
      <c r="V49" s="3715">
        <f>IF(F1="售价",ROUND(PRODUCT(V48,AC7:AC47),0),ROUND(PRODUCT(V48,AC7:AC47),1))</f>
        <v>41325</v>
      </c>
      <c r="W49" s="3715"/>
      <c r="X49" s="397"/>
      <c r="Y49" s="397"/>
      <c r="Z49" s="397"/>
      <c r="AA49" s="397"/>
      <c r="AB49" s="397"/>
      <c r="AC49" s="578"/>
    </row>
    <row r="50" spans="1:29" ht="15.75" thickBot="1">
      <c r="A50" s="441" t="s">
        <v>1791</v>
      </c>
      <c r="B50" s="442"/>
      <c r="C50" s="1163">
        <f>R50</f>
        <v>39409</v>
      </c>
      <c r="D50" s="1163"/>
      <c r="E50" s="1163"/>
      <c r="F50" s="1163"/>
      <c r="G50" s="1163"/>
      <c r="H50" s="1163"/>
      <c r="I50" s="1163"/>
      <c r="J50" s="443"/>
      <c r="K50" s="715"/>
      <c r="L50" s="2723"/>
      <c r="M50" s="2715"/>
      <c r="N50" s="2715"/>
      <c r="O50" s="2715"/>
      <c r="P50" s="3757" t="str">
        <f>A50</f>
        <v>估价对象XX用房的比较价值（楼面单价，元/平方米）</v>
      </c>
      <c r="Q50" s="3758"/>
      <c r="R50" s="3759">
        <f>IF(F1="售价",ROUND(IF(D49="简单平均",AVERAGE(R49:V49),R49*F49+T49*H49+V49*J49),0),ROUND(IF(D49="简单平均",AVERAGE(R49:V49),R49*F49+T49*H49+V49*J49),1))</f>
        <v>39409</v>
      </c>
      <c r="S50" s="3759"/>
      <c r="T50" s="3759"/>
      <c r="U50" s="3759"/>
      <c r="V50" s="3759"/>
      <c r="W50" s="375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f>IF(E48&lt;E49,E49/E48-1,E48/E49-1)</f>
        <v>4.0390947035491065E-2</v>
      </c>
      <c r="F53" s="449" t="str">
        <f>IF(OR(E53&gt;=0.3,E53&lt;=-0.3),"超过30%","")</f>
        <v/>
      </c>
      <c r="G53" s="448">
        <f>IF(G48&lt;G49,G49/G48-1,G48/G49-1)</f>
        <v>4.038822792736374E-2</v>
      </c>
      <c r="H53" s="449" t="str">
        <f>IF(OR(G53&gt;=0.3,G53&lt;=-0.3),"超过30%","")</f>
        <v/>
      </c>
      <c r="I53" s="448">
        <f>IF(I48&lt;I49,I49/I48-1,I48/I49-1)</f>
        <v>6.1197822141560776E-2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1709</v>
      </c>
      <c r="D54" s="450"/>
      <c r="E54" s="448">
        <f>IF(E49&lt;G49,G49/E49-1,E49/G49-1)</f>
        <v>6.3921936965143367E-3</v>
      </c>
      <c r="F54" s="449" t="str">
        <f>IF(OR(E54&gt;=0.2,E54&lt;=-0.2),"超过20%","")</f>
        <v/>
      </c>
      <c r="G54" s="448">
        <f>IF(G49&lt;I49,I49/G49-1,G49/I49-1)</f>
        <v>7.8193487789605554E-2</v>
      </c>
      <c r="H54" s="449" t="str">
        <f>IF(OR(G54&gt;=0.2,G54&lt;=-0.2),"超过20%","")</f>
        <v/>
      </c>
      <c r="I54" s="448">
        <f>IF(I49&lt;E49,E49/I49-1,I49/E49-1)</f>
        <v>7.1345241490161415E-2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f>IF(E48&lt;G48,G48/E48-1,E48/G48-1)</f>
        <v>6.3948239542581664E-3</v>
      </c>
      <c r="F55" s="449" t="str">
        <f>IF(OR(E55&gt;=0.3,E55&lt;=-0.3),"超过30%","")</f>
        <v/>
      </c>
      <c r="G55" s="448">
        <f>IF(G48&lt;I48,I48/G48-1,G48/I48-1)</f>
        <v>9.9759253686428018E-2</v>
      </c>
      <c r="H55" s="449" t="str">
        <f>IF(OR(G55&gt;=0.3,G55&lt;=-0.3),"超过30%","")</f>
        <v/>
      </c>
      <c r="I55" s="448">
        <f>IF(I48&lt;E48,E48/I48-1,I48/E48-1)</f>
        <v>9.2771174403827539E-2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1795</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1715</v>
      </c>
      <c r="D62" s="3461" t="s">
        <v>3402</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t="s">
        <v>3436</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6.5" hidden="1" thickTop="1" thickBot="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6.5" hidden="1" thickTop="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6.5" hidden="1" thickTop="1" thickBot="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6.5" hidden="1" thickTop="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6.5" hidden="1" thickTop="1" thickBot="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6.5" hidden="1" thickTop="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3466" t="s">
        <v>3433</v>
      </c>
      <c r="D87" s="3466" t="s">
        <v>3434</v>
      </c>
      <c r="E87" s="3466" t="s">
        <v>3405</v>
      </c>
      <c r="F87" s="3466" t="s">
        <v>3406</v>
      </c>
      <c r="G87" s="3466" t="s">
        <v>3407</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3" t="s">
        <v>3437</v>
      </c>
      <c r="D89" s="3463" t="s">
        <v>3438</v>
      </c>
      <c r="E89" s="3463" t="s">
        <v>3439</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6.5" hidden="1" thickTop="1" thickBot="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6.5" hidden="1" thickTop="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6.5" hidden="1" thickTop="1" thickBot="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6.5" hidden="1" thickTop="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6.5" hidden="1" thickTop="1" thickBot="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6.5" hidden="1" thickTop="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6.5" hidden="1" thickTop="1" thickBot="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6.5" hidden="1" thickTop="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1691</v>
      </c>
      <c r="B101" s="477" t="s">
        <v>1733</v>
      </c>
      <c r="C101" s="3464" t="s">
        <v>3440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1734</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v>100</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463" t="s">
        <v>3441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463" t="s">
        <v>3415</v>
      </c>
      <c r="D108" s="3463" t="s">
        <v>3416</v>
      </c>
      <c r="E108" s="3463" t="s">
        <v>3417</v>
      </c>
      <c r="F108" s="3465" t="s">
        <v>3418</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463" t="s">
        <v>3449</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463" t="s">
        <v>3448</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463" t="s">
        <v>3444</v>
      </c>
      <c r="D117" s="3463" t="s">
        <v>3445</v>
      </c>
      <c r="E117" s="3463" t="s">
        <v>3446</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465" t="s">
        <v>3443</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463" t="s">
        <v>3415</v>
      </c>
      <c r="D123" s="3463" t="s">
        <v>3416</v>
      </c>
      <c r="E123" s="3463" t="s">
        <v>3417</v>
      </c>
      <c r="F123" s="3465" t="s">
        <v>3418</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73" priority="20" stopIfTrue="1" operator="containsText" text="超过">
      <formula>NOT(ISERROR(SEARCH("超过",F53)))</formula>
    </cfRule>
  </conditionalFormatting>
  <conditionalFormatting sqref="H55">
    <cfRule type="containsText" dxfId="172" priority="19" stopIfTrue="1" operator="containsText" text="超过">
      <formula>NOT(ISERROR(SEARCH("超过",H55)))</formula>
    </cfRule>
  </conditionalFormatting>
  <conditionalFormatting sqref="F55">
    <cfRule type="containsText" dxfId="171" priority="18" stopIfTrue="1" operator="containsText" text="超过">
      <formula>NOT(ISERROR(SEARCH("超过",F55)))</formula>
    </cfRule>
  </conditionalFormatting>
  <conditionalFormatting sqref="F54 H54">
    <cfRule type="containsText" dxfId="170" priority="17" stopIfTrue="1" operator="containsText" text="超过">
      <formula>NOT(ISERROR(SEARCH("超过",F54)))</formula>
    </cfRule>
  </conditionalFormatting>
  <conditionalFormatting sqref="E53">
    <cfRule type="expression" dxfId="169" priority="16" stopIfTrue="1">
      <formula>$F$53="超过30%"</formula>
    </cfRule>
  </conditionalFormatting>
  <conditionalFormatting sqref="E54">
    <cfRule type="expression" dxfId="168" priority="15" stopIfTrue="1">
      <formula>$F$54="超过20%"</formula>
    </cfRule>
  </conditionalFormatting>
  <conditionalFormatting sqref="E55">
    <cfRule type="expression" dxfId="167" priority="14" stopIfTrue="1">
      <formula>$F$55="超过30%"</formula>
    </cfRule>
  </conditionalFormatting>
  <conditionalFormatting sqref="G55">
    <cfRule type="expression" dxfId="166" priority="13" stopIfTrue="1">
      <formula>$H$55="超过30%"</formula>
    </cfRule>
  </conditionalFormatting>
  <conditionalFormatting sqref="G53">
    <cfRule type="expression" dxfId="165" priority="12" stopIfTrue="1">
      <formula>$H$53="超过30%"</formula>
    </cfRule>
  </conditionalFormatting>
  <conditionalFormatting sqref="G54">
    <cfRule type="expression" dxfId="164" priority="11" stopIfTrue="1">
      <formula>$H$54="超过20%"</formula>
    </cfRule>
  </conditionalFormatting>
  <conditionalFormatting sqref="J53">
    <cfRule type="containsText" dxfId="163" priority="10" stopIfTrue="1" operator="containsText" text="超过">
      <formula>NOT(ISERROR(SEARCH("超过",J53)))</formula>
    </cfRule>
  </conditionalFormatting>
  <conditionalFormatting sqref="J55">
    <cfRule type="containsText" dxfId="162" priority="9" stopIfTrue="1" operator="containsText" text="超过">
      <formula>NOT(ISERROR(SEARCH("超过",J55)))</formula>
    </cfRule>
  </conditionalFormatting>
  <conditionalFormatting sqref="J54">
    <cfRule type="containsText" dxfId="161" priority="8" stopIfTrue="1" operator="containsText" text="超过">
      <formula>NOT(ISERROR(SEARCH("超过",J54)))</formula>
    </cfRule>
  </conditionalFormatting>
  <conditionalFormatting sqref="I53">
    <cfRule type="expression" dxfId="160" priority="7" stopIfTrue="1">
      <formula>$J$53="超过30%"</formula>
    </cfRule>
  </conditionalFormatting>
  <conditionalFormatting sqref="I54">
    <cfRule type="expression" dxfId="159" priority="6" stopIfTrue="1">
      <formula>$J$53+$J$54="超过20%"</formula>
    </cfRule>
  </conditionalFormatting>
  <conditionalFormatting sqref="I55">
    <cfRule type="expression" dxfId="158" priority="5" stopIfTrue="1">
      <formula>$J$55="超过30%"</formula>
    </cfRule>
  </conditionalFormatting>
  <conditionalFormatting sqref="F49">
    <cfRule type="expression" dxfId="157" priority="4">
      <formula>$D$49="简单平均"</formula>
    </cfRule>
  </conditionalFormatting>
  <conditionalFormatting sqref="H49">
    <cfRule type="expression" dxfId="156" priority="3">
      <formula>$D$49="简单平均"</formula>
    </cfRule>
  </conditionalFormatting>
  <conditionalFormatting sqref="J49">
    <cfRule type="expression" dxfId="155" priority="2">
      <formula>$D$49="简单平均"</formula>
    </cfRule>
  </conditionalFormatting>
  <conditionalFormatting sqref="F7:F47 H7:H47 J7:J47">
    <cfRule type="cellIs" dxfId="15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v>413</v>
      </c>
      <c r="D1" s="1362" t="s">
        <v>43</v>
      </c>
      <c r="E1" s="1363" t="s">
        <v>676</v>
      </c>
      <c r="F1" s="1062">
        <f ca="1">J53</f>
        <v>36.72</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24">
        <f ca="1">ROUND(D2/10000,4)</f>
        <v>161.73249999999999</v>
      </c>
      <c r="C2" s="1387" t="s">
        <v>877</v>
      </c>
      <c r="D2" s="1471">
        <f ca="1">C40+J29+L46</f>
        <v>1617325</v>
      </c>
      <c r="E2" s="1388" t="s">
        <v>878</v>
      </c>
      <c r="F2" s="1389"/>
      <c r="G2" s="2705"/>
      <c r="H2" s="2694"/>
      <c r="I2" s="2694"/>
      <c r="J2" s="2694"/>
      <c r="K2" s="2695"/>
      <c r="L2" s="2694"/>
      <c r="M2" s="2694"/>
    </row>
    <row r="3" spans="1:37" ht="18" customHeight="1" thickBot="1">
      <c r="A3" s="1390" t="s">
        <v>879</v>
      </c>
      <c r="B3" s="1391">
        <f ca="1">IF(ISERROR(D2/F43),0,ROUND(D2/F43,0))</f>
        <v>27675</v>
      </c>
      <c r="C3" s="1387" t="s">
        <v>880</v>
      </c>
      <c r="D3" s="1387"/>
      <c r="E3" s="1388"/>
      <c r="F3" s="1389"/>
      <c r="G3" s="2705"/>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94186</v>
      </c>
      <c r="D5" s="1364" t="s">
        <v>887</v>
      </c>
      <c r="E5" s="1071"/>
      <c r="F5" s="1072"/>
      <c r="G5" s="1384"/>
      <c r="H5" s="299">
        <v>1</v>
      </c>
      <c r="I5" s="300" t="s">
        <v>886</v>
      </c>
      <c r="J5" s="1070">
        <f ca="1">J6+J10+J12</f>
        <v>0</v>
      </c>
      <c r="K5" s="1364" t="s">
        <v>887</v>
      </c>
      <c r="L5" s="1071"/>
      <c r="M5" s="1072"/>
    </row>
    <row r="6" spans="1:37" ht="18" customHeight="1">
      <c r="A6" s="1069" t="s">
        <v>398</v>
      </c>
      <c r="B6" s="3687" t="s">
        <v>692</v>
      </c>
      <c r="C6" s="1074">
        <f ca="1">ROUND(F6*F8*F7*(1-F9),0)</f>
        <v>94068</v>
      </c>
      <c r="D6" s="155" t="s">
        <v>2102</v>
      </c>
      <c r="E6" s="302" t="s">
        <v>694</v>
      </c>
      <c r="F6" s="303">
        <f ca="1">INDIRECT("'数据-取费表'!u"&amp;$G$1)</f>
        <v>4.9000000000000004</v>
      </c>
      <c r="G6" s="1384"/>
      <c r="H6" s="1069" t="s">
        <v>398</v>
      </c>
      <c r="I6" s="3687" t="s">
        <v>692</v>
      </c>
      <c r="J6" s="301">
        <f ca="1">ROUND(M6*M8*M7*(1-M9),0)</f>
        <v>0</v>
      </c>
      <c r="K6" s="1376" t="s">
        <v>2103</v>
      </c>
      <c r="L6" s="302" t="s">
        <v>694</v>
      </c>
      <c r="M6" s="303">
        <f ca="1">INDIRECT("'数据-取费表'!z"&amp;$G$1)</f>
        <v>0</v>
      </c>
    </row>
    <row r="7" spans="1:37" ht="18" customHeight="1">
      <c r="A7" s="1073"/>
      <c r="B7" s="3688"/>
      <c r="C7" s="1075"/>
      <c r="D7" s="307"/>
      <c r="E7" s="1076" t="s">
        <v>695</v>
      </c>
      <c r="F7" s="303">
        <f ca="1">IF(INDIRECT("'数据-取费表'!ah"&amp;$G$1)="",INDIRECT("'数据-取费表'!k"&amp;$G$1),INDIRECT("'数据-取费表'!ah"&amp;$G$1))</f>
        <v>58.44</v>
      </c>
      <c r="G7" s="1384"/>
      <c r="H7" s="304"/>
      <c r="I7" s="3688"/>
      <c r="J7" s="306"/>
      <c r="K7" s="307"/>
      <c r="L7" s="302" t="s">
        <v>695</v>
      </c>
      <c r="M7" s="303">
        <f ca="1">F7</f>
        <v>58.44</v>
      </c>
    </row>
    <row r="8" spans="1:37" ht="18" customHeight="1">
      <c r="A8" s="304"/>
      <c r="B8" s="3688"/>
      <c r="C8" s="306"/>
      <c r="D8" s="307"/>
      <c r="E8" s="302" t="s">
        <v>696</v>
      </c>
      <c r="F8" s="303">
        <f ca="1">INDIRECT("'数据-取费表'!ai"&amp;$G$1)</f>
        <v>365</v>
      </c>
      <c r="G8" s="1384"/>
      <c r="H8" s="304"/>
      <c r="I8" s="3688"/>
      <c r="J8" s="306"/>
      <c r="K8" s="307"/>
      <c r="L8" s="302" t="s">
        <v>696</v>
      </c>
      <c r="M8" s="303">
        <f ca="1">INDIRECT("'数据-取费表'!ai"&amp;$G$1)</f>
        <v>365</v>
      </c>
    </row>
    <row r="9" spans="1:37" ht="18" customHeight="1">
      <c r="A9" s="304"/>
      <c r="B9" s="3689"/>
      <c r="C9" s="306"/>
      <c r="D9" s="307"/>
      <c r="E9" s="302" t="s">
        <v>697</v>
      </c>
      <c r="F9" s="312">
        <f ca="1">INDIRECT("'数据-取费表'!w"&amp;$G$1)</f>
        <v>0.1</v>
      </c>
      <c r="G9" s="1384"/>
      <c r="H9" s="304"/>
      <c r="I9" s="3689"/>
      <c r="J9" s="306"/>
      <c r="K9" s="307"/>
      <c r="L9" s="313" t="s">
        <v>697</v>
      </c>
      <c r="M9" s="314">
        <f ca="1">INDIRECT("'数据-取费表'!ab"&amp;$G$1)</f>
        <v>0</v>
      </c>
    </row>
    <row r="10" spans="1:37" ht="18" customHeight="1">
      <c r="A10" s="1069" t="s">
        <v>402</v>
      </c>
      <c r="B10" s="1365" t="s">
        <v>698</v>
      </c>
      <c r="C10" s="316">
        <f ca="1">ROUND(IF(F10="押一",C6/12*F11,IF(F10="押二",C6/12*2*F11,IF(F10="押三",C6/12*3*F11,C11*F11))),0)</f>
        <v>118</v>
      </c>
      <c r="D10" s="1366" t="s">
        <v>2112</v>
      </c>
      <c r="E10" s="313" t="s">
        <v>699</v>
      </c>
      <c r="F10" s="1116" t="s">
        <v>3396</v>
      </c>
      <c r="G10" s="1384"/>
      <c r="H10" s="1069" t="s">
        <v>402</v>
      </c>
      <c r="I10" s="1365" t="s">
        <v>698</v>
      </c>
      <c r="J10" s="301">
        <f ca="1">ROUND(IF(M10="押一",J6/12*M11,IF(M10="押二",J6/12*2*M11,IF(M10="押三",J6/12*3*M11,J11*M11))),0)</f>
        <v>0</v>
      </c>
      <c r="K10" s="1377" t="s">
        <v>2114</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276001</v>
      </c>
      <c r="D13" s="1081" t="s">
        <v>703</v>
      </c>
      <c r="E13" s="1081" t="s">
        <v>704</v>
      </c>
      <c r="F13" s="1082">
        <f ca="1">INDIRECT("'数据-取费表'!y"&amp;$G$1)</f>
        <v>0.82</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233760</v>
      </c>
      <c r="D14" s="1345" t="s">
        <v>706</v>
      </c>
      <c r="E14" s="1342"/>
      <c r="F14" s="319"/>
      <c r="G14" s="1384"/>
      <c r="H14" s="982" t="s">
        <v>398</v>
      </c>
      <c r="I14" s="302" t="s">
        <v>707</v>
      </c>
      <c r="J14" s="21">
        <f ca="1">C29</f>
        <v>336586</v>
      </c>
      <c r="K14" s="12"/>
      <c r="L14" s="807"/>
      <c r="M14" s="808"/>
    </row>
    <row r="15" spans="1:37" s="1397" customFormat="1" ht="18" customHeight="1" thickBot="1">
      <c r="A15" s="982" t="s">
        <v>399</v>
      </c>
      <c r="B15" s="302" t="s">
        <v>708</v>
      </c>
      <c r="C15" s="21">
        <f ca="1">ROUND(C14*F15,0)</f>
        <v>7013</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3366</v>
      </c>
      <c r="K16" s="1087" t="s">
        <v>713</v>
      </c>
      <c r="L16" s="1088"/>
      <c r="M16" s="1072"/>
    </row>
    <row r="17" spans="1:37" s="1397" customFormat="1" ht="18" customHeight="1">
      <c r="A17" s="982" t="s">
        <v>679</v>
      </c>
      <c r="B17" s="302" t="s">
        <v>714</v>
      </c>
      <c r="C17" s="21">
        <f ca="1">ROUND(F17*(F43+INDIRECT("'数据-取费表'!S"&amp;$G$1)),0)</f>
        <v>11688</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1345" t="s">
        <v>718</v>
      </c>
      <c r="L17" s="1344"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4675</v>
      </c>
      <c r="D18" s="302" t="s">
        <v>709</v>
      </c>
      <c r="E18" s="302" t="s">
        <v>710</v>
      </c>
      <c r="F18" s="322">
        <f>'数据-取费表'!B36</f>
        <v>0.02</v>
      </c>
      <c r="G18" s="1396"/>
      <c r="H18" s="982" t="s">
        <v>397</v>
      </c>
      <c r="I18" s="302" t="s">
        <v>721</v>
      </c>
      <c r="J18" s="21">
        <f ca="1">ROUND(J6*M18/(1+'数据-取费表'!C42),0)</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257136</v>
      </c>
      <c r="D19" s="131" t="s">
        <v>724</v>
      </c>
      <c r="E19" s="1360"/>
      <c r="F19" s="23"/>
      <c r="G19" s="1384"/>
      <c r="H19" s="982" t="s">
        <v>399</v>
      </c>
      <c r="I19" s="302" t="s">
        <v>725</v>
      </c>
      <c r="J19" s="21">
        <f ca="1">IF(K19="按租金收入计税",ROUND(J6*M19/(1+'数据-取费表'!C42),0),ROUND(C29*M19*0.7,0))</f>
        <v>0</v>
      </c>
      <c r="K19" s="1370" t="s">
        <v>3336</v>
      </c>
      <c r="L19" s="302" t="s">
        <v>710</v>
      </c>
      <c r="M19" s="322">
        <f>IF(K19="按租金收入计税",'数据-取费表'!B51,'数据-取费表'!B50)</f>
        <v>0.12</v>
      </c>
    </row>
    <row r="20" spans="1:37" s="1397" customFormat="1" ht="18" customHeight="1">
      <c r="A20" s="982" t="s">
        <v>402</v>
      </c>
      <c r="B20" s="302" t="s">
        <v>726</v>
      </c>
      <c r="C20" s="21">
        <f ca="1">ROUND(C19*F20,0)</f>
        <v>5143</v>
      </c>
      <c r="D20" s="323" t="s">
        <v>727</v>
      </c>
      <c r="E20" s="302" t="s">
        <v>710</v>
      </c>
      <c r="F20" s="322">
        <f>'数据-取费表'!B37</f>
        <v>0.02</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ROUND(J14*M22,0)</f>
        <v>3366</v>
      </c>
      <c r="K22" s="1344"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9048</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ROUND(J13*M23,0)</f>
        <v>0</v>
      </c>
      <c r="K23" s="1344" t="s">
        <v>741</v>
      </c>
      <c r="L23" s="302" t="s">
        <v>742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6"/>
      <c r="H24" s="1089" t="s">
        <v>682</v>
      </c>
      <c r="I24" s="1090" t="s">
        <v>726</v>
      </c>
      <c r="J24" s="1091">
        <f ca="1">ROUND(J5*M24,0)</f>
        <v>0</v>
      </c>
      <c r="K24" s="1092" t="s">
        <v>746</v>
      </c>
      <c r="L24" s="1090" t="s">
        <v>742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1360"/>
      <c r="F25" s="23"/>
      <c r="G25" s="1384"/>
      <c r="H25" s="1079" t="s">
        <v>394</v>
      </c>
      <c r="I25" s="1094" t="s">
        <v>750</v>
      </c>
      <c r="J25" s="310">
        <f ca="1">J5-J16</f>
        <v>-3366</v>
      </c>
      <c r="K25" s="1095" t="s">
        <v>751</v>
      </c>
      <c r="L25" s="1096"/>
      <c r="M25" s="1097"/>
    </row>
    <row r="26" spans="1:37" ht="18" customHeight="1">
      <c r="A26" s="982" t="s">
        <v>397</v>
      </c>
      <c r="B26" s="302" t="s">
        <v>752</v>
      </c>
      <c r="C26" s="21">
        <f ca="1">ROUND((C19+C20)*F26,0)</f>
        <v>39342</v>
      </c>
      <c r="D26" s="323" t="s">
        <v>753</v>
      </c>
      <c r="E26" s="313" t="s">
        <v>754</v>
      </c>
      <c r="F26" s="312">
        <f ca="1">INDIRECT("'数据-取费表'!q"&amp;$G$1)</f>
        <v>0.15</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3.0000000000000001E-3</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336586</v>
      </c>
      <c r="D29" s="1092"/>
      <c r="E29" s="1090"/>
      <c r="F29" s="1093"/>
      <c r="G29" s="1396"/>
      <c r="H29" s="334" t="s">
        <v>396</v>
      </c>
      <c r="I29" s="335" t="s">
        <v>766</v>
      </c>
      <c r="J29" s="336">
        <f ca="1">ROUND(J26/(1+F40)^F41,0)</f>
        <v>0</v>
      </c>
      <c r="K29" s="337" t="s">
        <v>767</v>
      </c>
      <c r="L29" s="338"/>
      <c r="M29" s="339">
        <f ca="1">INDIRECT("'数据-取费表'!k"&amp;$G$1)</f>
        <v>58.44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20352</v>
      </c>
      <c r="D30" s="1087" t="s">
        <v>713</v>
      </c>
      <c r="E30" s="1088"/>
      <c r="F30" s="1072"/>
      <c r="G30" s="1384"/>
      <c r="H30" s="2696"/>
      <c r="I30" s="1398"/>
      <c r="J30" s="1399"/>
      <c r="K30" s="2474"/>
      <c r="L30" s="2697"/>
      <c r="M30" s="2698"/>
    </row>
    <row r="31" spans="1:37" ht="18" customHeight="1">
      <c r="A31" s="982" t="s">
        <v>398</v>
      </c>
      <c r="B31" s="302" t="s">
        <v>717</v>
      </c>
      <c r="C31" s="2316">
        <f ca="1">ROUND(IF(AND(项目基本情况!B11="自然人",项目基本情况!B10="北京市"),C6*F31/(1+'数据-取费表'!C42),C32+C33+C34),0)</f>
        <v>15768</v>
      </c>
      <c r="D31" s="1345" t="s">
        <v>718</v>
      </c>
      <c r="E31" s="1344" t="s">
        <v>768</v>
      </c>
      <c r="F31" s="2315"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721</v>
      </c>
      <c r="C32" s="21">
        <f ca="1">IF(项目基本情况!B11="自然人","——",ROUND(C6*F32/(1+'数据-取费表'!C42),0))</f>
        <v>5017</v>
      </c>
      <c r="D32" s="1344" t="s">
        <v>722</v>
      </c>
      <c r="E32" s="302" t="s">
        <v>710</v>
      </c>
      <c r="F32" s="331">
        <f>'数据-取费表'!B41</f>
        <v>5.6000000000000001E-2</v>
      </c>
      <c r="G32" s="1384"/>
      <c r="H32" s="2696"/>
      <c r="I32" s="1398"/>
      <c r="J32" s="1399"/>
      <c r="K32" s="2474"/>
      <c r="L32" s="2697"/>
      <c r="M32" s="2698"/>
    </row>
    <row r="33" spans="1:18" ht="18" customHeight="1">
      <c r="A33" s="982" t="s">
        <v>399</v>
      </c>
      <c r="B33" s="302" t="s">
        <v>725</v>
      </c>
      <c r="C33" s="21">
        <f ca="1">IF(项目基本情况!B11="自然人","——",IF(D33="按租金收入计税",ROUND(C6*F33/(1+'数据-取费表'!C42),0),IF(D33="按房产原值计税",ROUND(C29*F33*0.7,0),INDIRECT("'数据-取费表'!Aj"&amp;$G$1))))</f>
        <v>10751</v>
      </c>
      <c r="D33" s="1370" t="s">
        <v>3336</v>
      </c>
      <c r="E33" s="302" t="s">
        <v>710</v>
      </c>
      <c r="F33" s="322">
        <f>IF(D33="按票据","——",IF(D33="按租金收入计税",'数据-取费表'!B51,'数据-取费表'!B50))</f>
        <v>0.12</v>
      </c>
      <c r="G33" s="1384"/>
      <c r="H33" s="2699"/>
      <c r="I33" s="1398"/>
      <c r="J33" s="1399"/>
      <c r="K33" s="2700"/>
      <c r="L33" s="2699"/>
      <c r="M33" s="2699"/>
    </row>
    <row r="34" spans="1:18" ht="18" customHeight="1">
      <c r="A34" s="1069" t="s">
        <v>678</v>
      </c>
      <c r="B34" s="155" t="s">
        <v>728</v>
      </c>
      <c r="C34" s="22">
        <f ca="1">IF(项目基本情况!B11="自然人","——",ROUND(F34*F35,0))</f>
        <v>0</v>
      </c>
      <c r="D34" s="324" t="s">
        <v>729</v>
      </c>
      <c r="E34" s="302" t="s">
        <v>730</v>
      </c>
      <c r="F34" s="325">
        <f>'数据-取费表'!B52</f>
        <v>0</v>
      </c>
      <c r="G34" s="1384"/>
      <c r="H34" s="2696"/>
      <c r="I34" s="1398"/>
      <c r="J34" s="1399"/>
      <c r="K34" s="2701"/>
      <c r="L34" s="2702"/>
      <c r="M34" s="2702"/>
    </row>
    <row r="35" spans="1:18" ht="18" customHeight="1">
      <c r="A35" s="1103"/>
      <c r="B35" s="1101"/>
      <c r="C35" s="26"/>
      <c r="D35" s="327"/>
      <c r="E35" s="302" t="s">
        <v>734</v>
      </c>
      <c r="F35" s="303">
        <f ca="1">INDIRECT("'数据-取费表'!r"&amp;$G$1)</f>
        <v>0</v>
      </c>
      <c r="G35" s="1384"/>
      <c r="H35" s="2696"/>
      <c r="I35" s="1398"/>
      <c r="J35" s="1399"/>
      <c r="K35" s="2700"/>
      <c r="L35" s="2699"/>
      <c r="M35" s="2699"/>
    </row>
    <row r="36" spans="1:18" ht="18" customHeight="1">
      <c r="A36" s="1102" t="s">
        <v>402</v>
      </c>
      <c r="B36" s="302" t="s">
        <v>736</v>
      </c>
      <c r="C36" s="21">
        <f ca="1">ROUND(C29*F36,0)</f>
        <v>3366</v>
      </c>
      <c r="D36" s="1344" t="s">
        <v>769</v>
      </c>
      <c r="E36" s="302" t="s">
        <v>710</v>
      </c>
      <c r="F36" s="328">
        <f ca="1">INDIRECT("'数据-取费表'!Ak"&amp;$G$1)</f>
        <v>0.01</v>
      </c>
      <c r="G36" s="1384"/>
      <c r="H36" s="2699"/>
      <c r="I36" s="1398"/>
      <c r="J36" s="1399"/>
      <c r="K36" s="2543"/>
      <c r="L36" s="2699"/>
      <c r="M36" s="2699"/>
    </row>
    <row r="37" spans="1:18" ht="18" customHeight="1">
      <c r="A37" s="982" t="s">
        <v>437</v>
      </c>
      <c r="B37" s="302" t="s">
        <v>740</v>
      </c>
      <c r="C37" s="21">
        <f ca="1">ROUND(C13*F37,0)</f>
        <v>276</v>
      </c>
      <c r="D37" s="1344" t="s">
        <v>741</v>
      </c>
      <c r="E37" s="302" t="s">
        <v>742</v>
      </c>
      <c r="F37" s="330">
        <f ca="1">INDIRECT("'数据-取费表'!Al"&amp;$G$1)</f>
        <v>1E-3</v>
      </c>
      <c r="G37" s="1384"/>
      <c r="H37" s="2699"/>
      <c r="I37" s="1398"/>
      <c r="J37" s="1399"/>
      <c r="K37" s="2543"/>
      <c r="L37" s="2699"/>
      <c r="M37" s="2699"/>
    </row>
    <row r="38" spans="1:18" ht="18" customHeight="1" thickBot="1">
      <c r="A38" s="1089" t="s">
        <v>682</v>
      </c>
      <c r="B38" s="1090" t="s">
        <v>726</v>
      </c>
      <c r="C38" s="1091">
        <f ca="1">ROUND(C5*F38,0)</f>
        <v>942</v>
      </c>
      <c r="D38" s="1092" t="s">
        <v>746</v>
      </c>
      <c r="E38" s="1090" t="s">
        <v>742</v>
      </c>
      <c r="F38" s="1086">
        <f ca="1">INDIRECT("'数据-取费表'!Am"&amp;$G$1)</f>
        <v>0.01</v>
      </c>
      <c r="G38" s="1384"/>
      <c r="H38" s="2699"/>
      <c r="I38" s="1398"/>
      <c r="J38" s="1399"/>
      <c r="K38" s="2703"/>
      <c r="L38" s="2699"/>
      <c r="M38" s="2699"/>
    </row>
    <row r="39" spans="1:18" ht="24.6" customHeight="1" thickTop="1">
      <c r="A39" s="1079" t="s">
        <v>394</v>
      </c>
      <c r="B39" s="1094" t="s">
        <v>770</v>
      </c>
      <c r="C39" s="310">
        <f ca="1">C5-C30</f>
        <v>73834</v>
      </c>
      <c r="D39" s="1095" t="s">
        <v>771</v>
      </c>
      <c r="E39" s="1096"/>
      <c r="F39" s="1097"/>
      <c r="G39" s="1384"/>
      <c r="H39" s="2699">
        <f ca="1">C39/C5</f>
        <v>0.78391693032934828</v>
      </c>
      <c r="I39" s="1398"/>
      <c r="J39" s="1399"/>
      <c r="K39" s="2703"/>
      <c r="L39" s="2699"/>
      <c r="M39" s="2699"/>
    </row>
    <row r="40" spans="1:18" ht="18" customHeight="1">
      <c r="A40" s="299" t="s">
        <v>395</v>
      </c>
      <c r="B40" s="300" t="s">
        <v>772</v>
      </c>
      <c r="C40" s="301">
        <f ca="1">ROUND(C39*(1-((1+F42)/(1+F40))^F41)/(F40-F42),0)</f>
        <v>1607866</v>
      </c>
      <c r="D40" s="324" t="s">
        <v>756</v>
      </c>
      <c r="E40" s="302" t="s">
        <v>757</v>
      </c>
      <c r="F40" s="312">
        <f ca="1">INDIRECT("'数据-取费表'!I"&amp;$G$1)</f>
        <v>5.5E-2</v>
      </c>
      <c r="G40" s="1384"/>
      <c r="H40" s="1461"/>
      <c r="I40" s="1398"/>
      <c r="J40" s="1399"/>
      <c r="K40" s="2703"/>
      <c r="L40" s="1461"/>
      <c r="M40" s="1461"/>
    </row>
    <row r="41" spans="1:18" ht="18" customHeight="1">
      <c r="A41" s="304"/>
      <c r="B41" s="305"/>
      <c r="C41" s="306"/>
      <c r="D41" s="332" t="s">
        <v>773</v>
      </c>
      <c r="E41" s="302" t="s">
        <v>761</v>
      </c>
      <c r="F41" s="333">
        <f ca="1">IF(INDIRECT("'数据-取费表'!af"&amp;$G$1)=0,INDIRECT("'数据-取费表'!ae"&amp;$G$1),INDIRECT("'数据-取费表'!af"&amp;$G$1))</f>
        <v>36.72</v>
      </c>
      <c r="G41" s="1384"/>
      <c r="H41" s="1191"/>
      <c r="I41" s="1398"/>
      <c r="J41" s="1399"/>
      <c r="K41" s="2543"/>
      <c r="L41" s="1191"/>
      <c r="M41" s="1191"/>
    </row>
    <row r="42" spans="1:18" ht="18" customHeight="1">
      <c r="A42" s="308"/>
      <c r="B42" s="309"/>
      <c r="C42" s="310"/>
      <c r="D42" s="327"/>
      <c r="E42" s="302" t="s">
        <v>764</v>
      </c>
      <c r="F42" s="312">
        <f ca="1">INDIRECT("'数据-取费表'!v"&amp;$G$1)</f>
        <v>2.5000000000000001E-2</v>
      </c>
      <c r="G42" s="1384"/>
      <c r="H42" s="1191"/>
      <c r="I42" s="1398"/>
      <c r="J42" s="1399"/>
      <c r="K42" s="2543"/>
      <c r="L42" s="1191"/>
      <c r="M42" s="1191"/>
    </row>
    <row r="43" spans="1:18" ht="18" customHeight="1" thickBot="1">
      <c r="A43" s="334" t="s">
        <v>396</v>
      </c>
      <c r="B43" s="335" t="s">
        <v>774</v>
      </c>
      <c r="C43" s="336">
        <f ca="1">ROUND(C40/F43,0)</f>
        <v>27513</v>
      </c>
      <c r="D43" s="337" t="s">
        <v>775</v>
      </c>
      <c r="E43" s="338" t="s">
        <v>776</v>
      </c>
      <c r="F43" s="339">
        <f ca="1">INDIRECT("'数据-取费表'!k"&amp;$G$1)</f>
        <v>58.44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-166.4813</v>
      </c>
      <c r="D45" s="3431" t="s">
        <v>3353</v>
      </c>
      <c r="E45" s="1400"/>
      <c r="F45" s="1400"/>
      <c r="O45" s="1403" t="s">
        <v>806</v>
      </c>
      <c r="P45" s="1461"/>
      <c r="Q45" s="1461"/>
      <c r="R45" s="1461"/>
    </row>
    <row r="46" spans="1:18" s="1384" customFormat="1" ht="13.5" thickBot="1">
      <c r="A46" s="1404" t="s">
        <v>807</v>
      </c>
      <c r="C46" s="1405">
        <f ca="1">ROUND(C45,0)</f>
        <v>-166</v>
      </c>
      <c r="D46" s="1406" t="str">
        <f>C2</f>
        <v>万元</v>
      </c>
      <c r="I46" s="1407" t="s">
        <v>808</v>
      </c>
      <c r="J46" s="1408"/>
      <c r="K46" s="1409"/>
      <c r="L46" s="1410">
        <f ca="1">IF(M47="住宅",0,IF(L48&gt;J51,L60,J60))</f>
        <v>9459</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t="s">
        <v>3421</v>
      </c>
      <c r="K47" s="1416" t="s">
        <v>814</v>
      </c>
      <c r="L47" s="1417">
        <f ca="1">INDIRECT("'数据-取费表'!d"&amp;$G$1)</f>
        <v>50</v>
      </c>
      <c r="M47" s="1380" t="str">
        <f>IF(ISNUMBER(FIND("住宅",C1)),"住宅","非住宅")</f>
        <v>非住宅</v>
      </c>
      <c r="O47" s="1418" t="s">
        <v>403</v>
      </c>
      <c r="P47" s="1419" t="s">
        <v>815</v>
      </c>
      <c r="Q47" s="1420">
        <f ca="1">C40+J29</f>
        <v>1607866</v>
      </c>
      <c r="R47" s="1420" t="s">
        <v>816</v>
      </c>
    </row>
    <row r="48" spans="1:18" s="1384" customFormat="1" ht="28.5" thickBot="1">
      <c r="A48" s="1110" t="s">
        <v>438</v>
      </c>
      <c r="B48" s="300" t="s">
        <v>690</v>
      </c>
      <c r="C48" s="1359">
        <f ca="1">C49+C53+C55</f>
        <v>0</v>
      </c>
      <c r="D48" s="1112"/>
      <c r="E48" s="1113"/>
      <c r="F48" s="962"/>
      <c r="G48" s="722"/>
      <c r="H48" s="723"/>
      <c r="I48" s="1421" t="s">
        <v>817</v>
      </c>
      <c r="J48" s="1422" t="s">
        <v>3454</v>
      </c>
      <c r="K48" s="1423" t="s">
        <v>818</v>
      </c>
      <c r="L48" s="1424">
        <f ca="1">INDIRECT("'数据-取费表'!f"&amp;$G$1)</f>
        <v>36.72</v>
      </c>
      <c r="O48" s="1418" t="s">
        <v>404</v>
      </c>
      <c r="P48" s="1419" t="s">
        <v>819</v>
      </c>
      <c r="Q48" s="1420">
        <f ca="1">J60</f>
        <v>9459</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v>2013</v>
      </c>
      <c r="K49" s="1423" t="s">
        <v>822</v>
      </c>
      <c r="L49" s="1427"/>
      <c r="O49" s="1428" t="s">
        <v>405</v>
      </c>
      <c r="P49" s="1419" t="s">
        <v>823</v>
      </c>
      <c r="Q49" s="1420">
        <f ca="1">C29</f>
        <v>336586</v>
      </c>
      <c r="R49" s="1420" t="s">
        <v>816</v>
      </c>
    </row>
    <row r="50" spans="1:18" s="1384" customFormat="1" ht="13.5" thickBot="1">
      <c r="A50" s="976"/>
      <c r="B50" s="979"/>
      <c r="C50" s="980"/>
      <c r="D50" s="953"/>
      <c r="E50" s="1056" t="s">
        <v>695</v>
      </c>
      <c r="F50" s="1057">
        <f ca="1">F7</f>
        <v>58.44</v>
      </c>
      <c r="H50" s="723"/>
      <c r="I50" s="1421" t="s">
        <v>824</v>
      </c>
      <c r="J50" s="1429">
        <f>SUMPRODUCT((I63:I65=J47)*(J62:L62=J48)*(J63:L65))</f>
        <v>60</v>
      </c>
      <c r="K50" s="1423" t="s">
        <v>825</v>
      </c>
      <c r="L50" s="1427"/>
      <c r="M50" s="1430"/>
      <c r="O50" s="1428" t="s">
        <v>406</v>
      </c>
      <c r="P50" s="1419" t="s">
        <v>826</v>
      </c>
      <c r="Q50" s="1431">
        <f ca="1">J58</f>
        <v>0.4</v>
      </c>
      <c r="R50" s="1420"/>
    </row>
    <row r="51" spans="1:18" s="1384" customFormat="1" ht="13.5" thickBot="1">
      <c r="A51" s="977"/>
      <c r="B51" s="979"/>
      <c r="C51" s="980"/>
      <c r="D51" s="953"/>
      <c r="E51" s="981" t="s">
        <v>696</v>
      </c>
      <c r="F51" s="303">
        <f ca="1">F8</f>
        <v>365</v>
      </c>
      <c r="I51" s="1432" t="s">
        <v>827</v>
      </c>
      <c r="J51" s="1433">
        <f>IF(J49="",J50,J49+J50-YEAR('数据-取费表'!B2))</f>
        <v>49</v>
      </c>
      <c r="K51" s="1434" t="s">
        <v>828</v>
      </c>
      <c r="L51" s="1435">
        <f ca="1">ROUND(-PV(INDIRECT("'数据-取费表'!h"&amp;$G$1),J51,(C39-C13*C76),0),0)</f>
        <v>990448</v>
      </c>
      <c r="M51" s="1436"/>
      <c r="O51" s="1428" t="s">
        <v>407</v>
      </c>
      <c r="P51" s="1419" t="s">
        <v>829</v>
      </c>
      <c r="Q51" s="1431">
        <f>J52</f>
        <v>7.4999999999999997E-2</v>
      </c>
      <c r="R51" s="1420"/>
    </row>
    <row r="52" spans="1:18" s="1384" customFormat="1" ht="13.5" thickBot="1">
      <c r="A52" s="977"/>
      <c r="B52" s="979"/>
      <c r="C52" s="980"/>
      <c r="D52" s="953"/>
      <c r="E52" s="981" t="s">
        <v>697</v>
      </c>
      <c r="F52" s="1054"/>
      <c r="I52" s="1437" t="s">
        <v>830</v>
      </c>
      <c r="J52" s="1438">
        <v>7.4999999999999997E-2</v>
      </c>
      <c r="K52" s="1437" t="s">
        <v>831</v>
      </c>
      <c r="L52" s="1438"/>
      <c r="O52" s="1428" t="s">
        <v>408</v>
      </c>
      <c r="P52" s="1419" t="s">
        <v>832</v>
      </c>
      <c r="Q52" s="1420">
        <f ca="1">J53</f>
        <v>36.72</v>
      </c>
      <c r="R52" s="1420" t="s">
        <v>833</v>
      </c>
    </row>
    <row r="53" spans="1:18" s="1384" customFormat="1" ht="30.75" customHeight="1" thickBot="1">
      <c r="A53" s="1111" t="s">
        <v>440</v>
      </c>
      <c r="B53" s="323" t="s">
        <v>698</v>
      </c>
      <c r="C53" s="316">
        <f ca="1">ROUND(IF(F53="押一",C49/12*F11,IF(F53="押二",C49/12*2*F11,IF(F53="押三",C49/12*3*F11,C54*F11))),0)</f>
        <v>0</v>
      </c>
      <c r="D53" s="1366" t="s">
        <v>2115</v>
      </c>
      <c r="E53" s="313" t="s">
        <v>699</v>
      </c>
      <c r="F53" s="1116"/>
      <c r="I53" s="1439" t="s">
        <v>834</v>
      </c>
      <c r="J53" s="2168">
        <f ca="1">IF(M47="住宅",IF(D1="——",MAX(J51,L48),MAX(J51,L48-'数据-取费表'!B24)),IF(D1="——",MIN(J51,L48),MIN(J51,L48-'数据-取费表'!B24)))</f>
        <v>36.72</v>
      </c>
      <c r="K53" s="3685" t="s">
        <v>835</v>
      </c>
      <c r="L53" s="3686"/>
      <c r="O53" s="1418" t="s">
        <v>409</v>
      </c>
      <c r="P53" s="1419" t="s">
        <v>836</v>
      </c>
      <c r="Q53" s="1420">
        <f ca="1">Q47+Q48</f>
        <v>1617325</v>
      </c>
      <c r="R53" s="1420" t="s">
        <v>410</v>
      </c>
    </row>
    <row r="54" spans="1:18" s="1384" customFormat="1" ht="13.5" thickBot="1">
      <c r="A54" s="975"/>
      <c r="B54" s="1473" t="s">
        <v>889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f ca="1">ROUND(IF(J47="钢混",J57/J50,1-(1-2%)*(J50-J57)/J50),3)</f>
        <v>0.20499999999999999</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276001</v>
      </c>
      <c r="D56" s="1447"/>
      <c r="E56" s="1448"/>
      <c r="F56" s="1440"/>
      <c r="I56" s="1449" t="s">
        <v>840</v>
      </c>
      <c r="J56" s="1450" t="s">
        <v>3386</v>
      </c>
      <c r="K56" s="1421" t="s">
        <v>841</v>
      </c>
      <c r="L56" s="1424" t="str">
        <f ca="1">IF(L48&lt;J51,"——",L48-J51)</f>
        <v>——</v>
      </c>
      <c r="O56" s="1418" t="s">
        <v>403</v>
      </c>
      <c r="P56" s="1419" t="s">
        <v>815</v>
      </c>
      <c r="Q56" s="1420">
        <f ca="1">C40+J29</f>
        <v>1607866</v>
      </c>
      <c r="R56" s="1420" t="s">
        <v>816</v>
      </c>
    </row>
    <row r="57" spans="1:18" s="1384" customFormat="1" ht="24.75" thickBot="1">
      <c r="A57" s="1451"/>
      <c r="B57" s="950" t="s">
        <v>765</v>
      </c>
      <c r="C57" s="238">
        <f ca="1">C29</f>
        <v>336586</v>
      </c>
      <c r="D57" s="1452"/>
      <c r="E57" s="1453"/>
      <c r="F57" s="1454"/>
      <c r="I57" s="1455" t="s">
        <v>842</v>
      </c>
      <c r="J57" s="1456">
        <f ca="1">IF(OR(M47="住宅",J51&lt;L48,J56="是"),"——",J51-L48)</f>
        <v>12.280000000000001</v>
      </c>
      <c r="K57" s="1421" t="s">
        <v>890</v>
      </c>
      <c r="L57" s="1424" t="str">
        <f ca="1">IF(L48&lt;J51,"——",IF(L55="比较法",L49,IF(L55="基准地价",L50,L51)))</f>
        <v>——</v>
      </c>
      <c r="O57" s="1418" t="s">
        <v>404</v>
      </c>
      <c r="P57" s="1419" t="s">
        <v>891</v>
      </c>
      <c r="Q57" s="1420">
        <f ca="1">L60</f>
        <v>0</v>
      </c>
      <c r="R57" s="1420" t="s">
        <v>892</v>
      </c>
    </row>
    <row r="58" spans="1:18" s="1384" customFormat="1" ht="24.75" thickBot="1">
      <c r="A58" s="315" t="s">
        <v>393</v>
      </c>
      <c r="B58" s="958" t="s">
        <v>712</v>
      </c>
      <c r="C58" s="316">
        <f ca="1">ROUND(C59+C64+C65+C66,0)</f>
        <v>3642</v>
      </c>
      <c r="D58" s="960" t="s">
        <v>713</v>
      </c>
      <c r="E58" s="961"/>
      <c r="F58" s="962"/>
      <c r="I58" s="1455" t="s">
        <v>846</v>
      </c>
      <c r="J58" s="1457">
        <f ca="1">IF(J55&lt;0.4,0.4,J55)</f>
        <v>0.4</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f ca="1">IF(OR(M47="住宅",J51&lt;L48,J56="是"),"——",ROUND(C29*J58,0))</f>
        <v>134634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f ca="1">IF(项目基本情况!B11="自然人","——",ROUND(C48*F60/(1+'数据-取费表'!C42),0))</f>
        <v>0</v>
      </c>
      <c r="D60" s="964" t="s">
        <v>722</v>
      </c>
      <c r="E60" s="950" t="s">
        <v>710</v>
      </c>
      <c r="F60" s="331">
        <f t="shared" ref="F60:F66" si="0">F32</f>
        <v>5.6000000000000001E-2</v>
      </c>
      <c r="I60" s="1458" t="s">
        <v>851</v>
      </c>
      <c r="J60" s="1459">
        <f ca="1">IF(OR(M47="住宅",J51&lt;L48,J56="是"),"0",ROUND(J59/(1+J52)^J53,0))</f>
        <v>9459</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f ca="1">IF(项目基本情况!B11="自然人","——",IF(D61="按租金收入计税",ROUND(C49*F61/(1+'数据-取费表'!C42),0),IF(D61="按房产原值计税",ROUND(C57*F61*0.7,0),INDIRECT("'数据-取费表'!Aj"&amp;$G$1))))</f>
        <v>0</v>
      </c>
      <c r="D61" s="1370" t="s">
        <v>3336</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f ca="1">IF(项目基本情况!B11="自然人","——",ROUND(F62*F63,0))</f>
        <v>0</v>
      </c>
      <c r="D62" s="965" t="s">
        <v>784</v>
      </c>
      <c r="E62" s="950" t="s">
        <v>785</v>
      </c>
      <c r="F62" s="325">
        <f t="shared" si="0"/>
        <v>0</v>
      </c>
      <c r="I62" s="1462" t="s">
        <v>856</v>
      </c>
      <c r="J62" s="1463" t="s">
        <v>857</v>
      </c>
      <c r="K62" s="1463" t="s">
        <v>858</v>
      </c>
      <c r="L62" s="1463" t="s">
        <v>859</v>
      </c>
      <c r="M62" s="1464" t="s">
        <v>860</v>
      </c>
      <c r="O62" s="1418" t="s">
        <v>409</v>
      </c>
      <c r="P62" s="1419" t="s">
        <v>861</v>
      </c>
      <c r="Q62" s="1420">
        <f ca="1">Q56+Q57</f>
        <v>1607866</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3366</v>
      </c>
      <c r="D64" s="964" t="s">
        <v>789</v>
      </c>
      <c r="E64" s="950" t="s">
        <v>781</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276</v>
      </c>
      <c r="D65" s="964" t="s">
        <v>741</v>
      </c>
      <c r="E65" s="950" t="s">
        <v>742</v>
      </c>
      <c r="F65" s="330">
        <f t="shared" ca="1" si="0"/>
        <v>1E-3</v>
      </c>
      <c r="I65" s="1462" t="s">
        <v>865</v>
      </c>
      <c r="J65" s="1463">
        <v>40</v>
      </c>
      <c r="K65" s="1463">
        <v>30</v>
      </c>
      <c r="L65" s="1463">
        <v>50</v>
      </c>
      <c r="M65" s="1465">
        <v>0.02</v>
      </c>
      <c r="O65" s="1418" t="s">
        <v>403</v>
      </c>
      <c r="P65" s="1419" t="s">
        <v>866</v>
      </c>
      <c r="Q65" s="1420">
        <f ca="1">C40+J29</f>
        <v>1607866</v>
      </c>
      <c r="R65" s="1420" t="s">
        <v>816</v>
      </c>
    </row>
    <row r="66" spans="1:18" s="1384" customFormat="1" ht="16.5" thickBot="1">
      <c r="A66" s="982" t="s">
        <v>791</v>
      </c>
      <c r="B66" s="950" t="s">
        <v>726</v>
      </c>
      <c r="C66" s="21">
        <f ca="1">ROUND(C48*F66,0)</f>
        <v>0</v>
      </c>
      <c r="D66" s="964" t="s">
        <v>792</v>
      </c>
      <c r="E66" s="950" t="s">
        <v>710</v>
      </c>
      <c r="F66" s="312">
        <f t="shared" ca="1" si="0"/>
        <v>0.01</v>
      </c>
      <c r="O66" s="1418" t="s">
        <v>404</v>
      </c>
      <c r="P66" s="1419" t="s">
        <v>844</v>
      </c>
      <c r="Q66" s="1420">
        <f ca="1">L60</f>
        <v>0</v>
      </c>
      <c r="R66" s="1420" t="s">
        <v>867</v>
      </c>
    </row>
    <row r="67" spans="1:18" s="1384" customFormat="1" ht="16.5" thickBot="1">
      <c r="A67" s="957" t="s">
        <v>394</v>
      </c>
      <c r="B67" s="967" t="s">
        <v>750</v>
      </c>
      <c r="C67" s="316">
        <f ca="1">C48-C58</f>
        <v>-3642</v>
      </c>
      <c r="D67" s="963" t="s">
        <v>751</v>
      </c>
      <c r="E67" s="968"/>
      <c r="F67" s="969"/>
      <c r="O67" s="1428" t="s">
        <v>405</v>
      </c>
      <c r="P67" s="1419" t="s">
        <v>848</v>
      </c>
      <c r="Q67" s="1466">
        <f ca="1">L51</f>
        <v>990448</v>
      </c>
      <c r="R67" s="1420" t="s">
        <v>868</v>
      </c>
    </row>
    <row r="68" spans="1:18" s="1384" customFormat="1" ht="16.5" thickBot="1">
      <c r="A68" s="947" t="s">
        <v>395</v>
      </c>
      <c r="B68" s="948" t="s">
        <v>772</v>
      </c>
      <c r="C68" s="301">
        <f ca="1">ROUND(C67*(1-((1+F70)/(1+F68))^F69)/(F68-F70),0)</f>
        <v>-56947</v>
      </c>
      <c r="D68" s="965" t="s">
        <v>756</v>
      </c>
      <c r="E68" s="950" t="s">
        <v>757</v>
      </c>
      <c r="F68" s="312">
        <f ca="1">F40</f>
        <v>5.5E-2</v>
      </c>
      <c r="O68" s="1428" t="s">
        <v>406</v>
      </c>
      <c r="P68" s="1467" t="s">
        <v>869</v>
      </c>
      <c r="Q68" s="1420">
        <f ca="1">ROUND(Q69-Q70*Q71,0)</f>
        <v>54514</v>
      </c>
      <c r="R68" s="1420" t="s">
        <v>414</v>
      </c>
    </row>
    <row r="69" spans="1:18" s="1384" customFormat="1" ht="13.5" thickBot="1">
      <c r="A69" s="951"/>
      <c r="B69" s="952"/>
      <c r="C69" s="306"/>
      <c r="D69" s="970" t="s">
        <v>760</v>
      </c>
      <c r="E69" s="950" t="s">
        <v>761</v>
      </c>
      <c r="F69" s="333">
        <f ca="1">F41</f>
        <v>36.72</v>
      </c>
      <c r="O69" s="1428" t="s">
        <v>411</v>
      </c>
      <c r="P69" s="1467" t="s">
        <v>870</v>
      </c>
      <c r="Q69" s="1420">
        <f ca="1">C39</f>
        <v>73834</v>
      </c>
      <c r="R69" s="1420" t="s">
        <v>816</v>
      </c>
    </row>
    <row r="70" spans="1:18" s="1384" customFormat="1" ht="13.5" thickBot="1">
      <c r="A70" s="954"/>
      <c r="B70" s="955"/>
      <c r="C70" s="310"/>
      <c r="D70" s="966"/>
      <c r="E70" s="950" t="s">
        <v>764</v>
      </c>
      <c r="F70" s="1054"/>
      <c r="O70" s="1428" t="s">
        <v>412</v>
      </c>
      <c r="P70" s="1467" t="s">
        <v>871</v>
      </c>
      <c r="Q70" s="1420">
        <f ca="1">C13</f>
        <v>276001</v>
      </c>
      <c r="R70" s="1420" t="s">
        <v>816</v>
      </c>
    </row>
    <row r="71" spans="1:18" s="1384" customFormat="1" ht="13.5" thickBot="1">
      <c r="A71" s="971" t="s">
        <v>396</v>
      </c>
      <c r="B71" s="972" t="s">
        <v>774</v>
      </c>
      <c r="C71" s="336">
        <f ca="1">ROUND(C68/F71,0)</f>
        <v>-974</v>
      </c>
      <c r="D71" s="973" t="s">
        <v>775</v>
      </c>
      <c r="E71" s="974" t="s">
        <v>776</v>
      </c>
      <c r="F71" s="339">
        <f ca="1">F43</f>
        <v>58.44</v>
      </c>
      <c r="O71" s="1428" t="s">
        <v>413</v>
      </c>
      <c r="P71" s="1467" t="s">
        <v>872</v>
      </c>
      <c r="Q71" s="1431">
        <f ca="1">C76</f>
        <v>7.0000000000000007E-2</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19320</v>
      </c>
      <c r="D75" s="1384"/>
      <c r="E75" s="1384"/>
      <c r="F75" s="1384"/>
      <c r="K75" s="1402"/>
      <c r="L75" s="1384"/>
      <c r="O75" s="1418" t="s">
        <v>409</v>
      </c>
      <c r="P75" s="1419" t="s">
        <v>836</v>
      </c>
      <c r="Q75" s="1420">
        <f ca="1">Q65+Q66</f>
        <v>1607866</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0.73799999999999999</v>
      </c>
    </row>
    <row r="80" spans="1:18">
      <c r="B80" s="340" t="s">
        <v>798</v>
      </c>
      <c r="C80" s="274">
        <f ca="1">ROUND(C75/C39,3)</f>
        <v>0.26200000000000001</v>
      </c>
    </row>
    <row r="81" spans="2:3">
      <c r="B81" s="270" t="s">
        <v>799</v>
      </c>
      <c r="C81" s="238"/>
    </row>
    <row r="82" spans="2:3">
      <c r="B82" s="273" t="s">
        <v>800</v>
      </c>
      <c r="C82" s="275">
        <f ca="1">1-C83</f>
        <v>0.82800000000000007</v>
      </c>
    </row>
    <row r="83" spans="2:3">
      <c r="B83" s="273" t="s">
        <v>801</v>
      </c>
      <c r="C83" s="274">
        <f ca="1">ROUND(C13/C40,3)</f>
        <v>0.17199999999999999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36" priority="4">
      <formula>$L$48&gt;$J$51</formula>
    </cfRule>
  </conditionalFormatting>
  <conditionalFormatting sqref="I55 I60">
    <cfRule type="expression" dxfId="235" priority="5">
      <formula>$J$51&gt;$L$48</formula>
    </cfRule>
  </conditionalFormatting>
  <conditionalFormatting sqref="C11">
    <cfRule type="expression" dxfId="234" priority="3">
      <formula>$F$10="自定义"</formula>
    </cfRule>
  </conditionalFormatting>
  <conditionalFormatting sqref="J11">
    <cfRule type="expression" dxfId="233" priority="2">
      <formula>$M$10="自定义"</formula>
    </cfRule>
  </conditionalFormatting>
  <conditionalFormatting sqref="C54">
    <cfRule type="expression" dxfId="23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696" t="s">
        <v>2317</v>
      </c>
      <c r="K2" s="3697"/>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98" t="s">
        <v>2327</v>
      </c>
      <c r="K3" s="3699"/>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98" t="s">
        <v>2329</v>
      </c>
      <c r="K4" s="3699"/>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04" t="s">
        <v>2333</v>
      </c>
      <c r="B6" s="3705"/>
      <c r="C6" s="3706"/>
      <c r="D6" s="2869"/>
      <c r="E6" s="2870"/>
      <c r="F6" s="2871"/>
      <c r="G6" s="2872"/>
      <c r="H6" s="2847"/>
      <c r="I6" s="2848"/>
      <c r="J6" s="3690">
        <v>1</v>
      </c>
      <c r="K6" s="3691"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90"/>
      <c r="K7" s="3692"/>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07" t="s">
        <v>2347</v>
      </c>
      <c r="C8" s="3708"/>
      <c r="D8" s="2888" t="s">
        <v>2348</v>
      </c>
      <c r="E8" s="2889" t="s">
        <v>2349</v>
      </c>
      <c r="F8" s="2890" t="s">
        <v>2350</v>
      </c>
      <c r="G8" s="2891"/>
      <c r="H8" s="2847"/>
      <c r="I8" s="2848"/>
      <c r="J8" s="3690"/>
      <c r="K8" s="3692"/>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07" t="s">
        <v>2353</v>
      </c>
      <c r="C9" s="3708"/>
      <c r="D9" s="2888">
        <f>ROUND(D6*E9,0)</f>
        <v>0</v>
      </c>
      <c r="E9" s="2892"/>
      <c r="F9" s="2893" t="s">
        <v>2354</v>
      </c>
      <c r="G9" s="2872"/>
      <c r="H9" s="2847"/>
      <c r="I9" s="2848"/>
      <c r="J9" s="3690"/>
      <c r="K9" s="3692"/>
      <c r="L9" s="2882" t="s">
        <v>2355</v>
      </c>
      <c r="M9" s="2883"/>
      <c r="N9" s="2859"/>
      <c r="O9" s="2884"/>
      <c r="P9" s="2884"/>
      <c r="Q9" s="2885">
        <v>365</v>
      </c>
      <c r="R9" s="2886">
        <f t="shared" si="0"/>
        <v>0</v>
      </c>
      <c r="S9" s="2840"/>
      <c r="T9" s="2840"/>
      <c r="U9" s="2840"/>
      <c r="V9" s="2848"/>
    </row>
    <row r="10" spans="1:22" s="2852" customFormat="1" ht="13.15" customHeight="1">
      <c r="A10" s="2887">
        <v>2</v>
      </c>
      <c r="B10" s="3707" t="s">
        <v>2356</v>
      </c>
      <c r="C10" s="3708"/>
      <c r="D10" s="2888">
        <f>ROUND(D6*E10,0)</f>
        <v>0</v>
      </c>
      <c r="E10" s="2892"/>
      <c r="F10" s="2893" t="s">
        <v>2357</v>
      </c>
      <c r="G10" s="2872"/>
      <c r="H10" s="2847"/>
      <c r="I10" s="2848"/>
      <c r="J10" s="3690"/>
      <c r="K10" s="3692"/>
      <c r="L10" s="2882" t="s">
        <v>2358</v>
      </c>
      <c r="M10" s="2883"/>
      <c r="N10" s="2859"/>
      <c r="O10" s="2884"/>
      <c r="P10" s="2884"/>
      <c r="Q10" s="2885">
        <v>365</v>
      </c>
      <c r="R10" s="2886">
        <f t="shared" si="0"/>
        <v>0</v>
      </c>
      <c r="S10" s="2840"/>
      <c r="T10" s="2840"/>
      <c r="U10" s="2840"/>
      <c r="V10" s="2848"/>
    </row>
    <row r="11" spans="1:22" s="2852" customFormat="1" ht="13.15" customHeight="1">
      <c r="A11" s="2887">
        <v>3</v>
      </c>
      <c r="B11" s="3707" t="s">
        <v>2359</v>
      </c>
      <c r="C11" s="3708"/>
      <c r="D11" s="2888">
        <f>D12+D14+D15+D16</f>
        <v>0</v>
      </c>
      <c r="E11" s="2894" t="e">
        <f>D11/D6</f>
        <v>#DIV/0!</v>
      </c>
      <c r="F11" s="2890"/>
      <c r="G11" s="2891"/>
      <c r="H11" s="2847"/>
      <c r="I11" s="2848"/>
      <c r="J11" s="3690"/>
      <c r="K11" s="3692"/>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00" t="s">
        <v>2362</v>
      </c>
      <c r="C12" s="3701"/>
      <c r="D12" s="2896">
        <f>ROUND(D13*1.2%*(1-30%),0)</f>
        <v>0</v>
      </c>
      <c r="E12" s="2897">
        <v>1.2E-2</v>
      </c>
      <c r="F12" s="2890" t="s">
        <v>2363</v>
      </c>
      <c r="G12" s="2891"/>
      <c r="H12" s="2847"/>
      <c r="I12" s="2848"/>
      <c r="J12" s="3690"/>
      <c r="K12" s="3692"/>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90"/>
      <c r="K13" s="3692"/>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00" t="s">
        <v>2368</v>
      </c>
      <c r="C14" s="3701"/>
      <c r="D14" s="2896">
        <f>ROUND(E14*B5/10000,0)</f>
        <v>0</v>
      </c>
      <c r="E14" s="2885"/>
      <c r="F14" s="2890" t="s">
        <v>2369</v>
      </c>
      <c r="G14" s="2891"/>
      <c r="H14" s="2847"/>
      <c r="I14" s="2848"/>
      <c r="J14" s="3690"/>
      <c r="K14" s="3693"/>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00" t="s">
        <v>2372</v>
      </c>
      <c r="C15" s="3701"/>
      <c r="D15" s="2896">
        <f>ROUND(D6*E15,0)</f>
        <v>0</v>
      </c>
      <c r="E15" s="2897">
        <v>5.5E-2</v>
      </c>
      <c r="F15" s="2890" t="s">
        <v>2373</v>
      </c>
      <c r="G15" s="2872"/>
      <c r="H15" s="2847"/>
      <c r="I15" s="2848"/>
      <c r="J15" s="3690">
        <v>2</v>
      </c>
      <c r="K15" s="3691"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00" t="s">
        <v>2381</v>
      </c>
      <c r="C16" s="3701"/>
      <c r="D16" s="2907">
        <f>D6*E16</f>
        <v>0</v>
      </c>
      <c r="E16" s="2908"/>
      <c r="F16" s="2893" t="s">
        <v>2382</v>
      </c>
      <c r="G16" s="2872"/>
      <c r="H16" s="2847"/>
      <c r="I16" s="2848"/>
      <c r="J16" s="3690"/>
      <c r="K16" s="3692"/>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02" t="s">
        <v>2384</v>
      </c>
      <c r="C17" s="3703"/>
      <c r="D17" s="2910">
        <f>ROUND(D6*E17,0)</f>
        <v>0</v>
      </c>
      <c r="E17" s="2911"/>
      <c r="F17" s="2912" t="s">
        <v>2385</v>
      </c>
      <c r="G17" s="2872"/>
      <c r="H17" s="2847"/>
      <c r="I17" s="2848"/>
      <c r="J17" s="3690"/>
      <c r="K17" s="3692"/>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90"/>
      <c r="K18" s="3692"/>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90"/>
      <c r="K19" s="3693"/>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0">
        <v>3</v>
      </c>
      <c r="K20" s="3691"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90"/>
      <c r="K21" s="3692"/>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90"/>
      <c r="K22" s="3692"/>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90"/>
      <c r="K23" s="3692"/>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90"/>
      <c r="K24" s="3693"/>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94">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9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96" t="s">
        <v>2317</v>
      </c>
      <c r="K32" s="3697"/>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98" t="s">
        <v>2327</v>
      </c>
      <c r="K33" s="3699"/>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98" t="s">
        <v>2329</v>
      </c>
      <c r="K34" s="369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90">
        <v>1</v>
      </c>
      <c r="K36" s="3691"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90"/>
      <c r="K37" s="3692"/>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0"/>
      <c r="K38" s="3692"/>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90"/>
      <c r="K39" s="3692"/>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90"/>
      <c r="K40" s="3693"/>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4">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9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6"/>
      <c r="G1" s="1489"/>
      <c r="H1" s="1489"/>
      <c r="I1" s="1489"/>
      <c r="J1" s="1489"/>
      <c r="K1" s="1489"/>
      <c r="L1" s="1489"/>
      <c r="M1" s="1489"/>
      <c r="N1" s="1489"/>
      <c r="O1" s="1489"/>
      <c r="P1" s="1489"/>
      <c r="Q1" s="1489"/>
      <c r="R1" s="1489"/>
      <c r="S1" s="1489"/>
    </row>
    <row r="2" spans="1:22" ht="15.75">
      <c r="A2" s="1870" t="s">
        <v>1459</v>
      </c>
      <c r="B2" s="1871">
        <f ca="1">SUMIF(B6:B13,"&lt;&gt;#ref!",B6:B13)</f>
        <v>384.90159999999997</v>
      </c>
      <c r="C2" s="1872" t="s">
        <v>1648</v>
      </c>
      <c r="D2" s="1873" t="s">
        <v>1649</v>
      </c>
      <c r="E2" s="2606">
        <f>SUM(E6:E13)</f>
        <v>139.07999999999998</v>
      </c>
      <c r="F2" s="2706"/>
      <c r="G2" s="1489"/>
      <c r="H2" s="1489"/>
      <c r="I2" s="1489"/>
      <c r="J2" s="1489"/>
      <c r="K2" s="1489"/>
      <c r="L2" s="1489"/>
      <c r="M2" s="1489"/>
      <c r="N2" s="1489"/>
      <c r="O2" s="1489"/>
      <c r="P2" s="1489"/>
      <c r="Q2" s="1489"/>
      <c r="R2" s="1489"/>
      <c r="S2" s="1489"/>
    </row>
    <row r="3" spans="1:22" ht="15.75">
      <c r="A3" s="1870" t="s">
        <v>684</v>
      </c>
      <c r="B3" s="2600">
        <f ca="1">ROUND(B2*10000/E2,0)</f>
        <v>27675</v>
      </c>
      <c r="C3" s="1872" t="s">
        <v>1656</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1650</v>
      </c>
      <c r="B5" s="3709" t="s">
        <v>1651</v>
      </c>
      <c r="C5" s="3710"/>
      <c r="D5" s="2707"/>
      <c r="E5" s="1874" t="s">
        <v>1652</v>
      </c>
      <c r="F5" s="1875" t="s">
        <v>1653</v>
      </c>
      <c r="G5" s="1489"/>
      <c r="H5" s="1489"/>
      <c r="I5" s="1489"/>
      <c r="J5" s="1489"/>
      <c r="K5" s="1489"/>
      <c r="L5" s="1489"/>
      <c r="M5" s="1489"/>
      <c r="N5" s="1489"/>
      <c r="O5" s="1489"/>
      <c r="P5" s="1489"/>
      <c r="Q5" s="1489"/>
      <c r="R5" s="1489"/>
      <c r="S5" s="1489"/>
    </row>
    <row r="6" spans="1:22">
      <c r="A6" s="2603" t="str">
        <f>'数据-取费表'!AN6</f>
        <v>收益法 (元)413</v>
      </c>
      <c r="B6" s="2601">
        <f ca="1">IF(F6="是",'数据-取费表'!AO6,0)</f>
        <v>161.73249999999999</v>
      </c>
      <c r="C6" s="1872" t="s">
        <v>1648</v>
      </c>
      <c r="D6" s="2708"/>
      <c r="E6" s="2605">
        <f>IF(OR(A6=0,F6="否"),0,'数据-取费表'!K6+'数据-取费表'!S6)</f>
        <v>58.44</v>
      </c>
      <c r="F6" s="1876" t="s">
        <v>1654</v>
      </c>
      <c r="G6" s="1489"/>
      <c r="H6" s="1489"/>
      <c r="I6" s="1489"/>
      <c r="J6" s="1489"/>
      <c r="K6" s="1489"/>
      <c r="L6" s="1489"/>
      <c r="M6" s="1489"/>
      <c r="N6" s="1489"/>
      <c r="O6" s="1489"/>
      <c r="P6" s="1489"/>
      <c r="Q6" s="1489"/>
      <c r="R6" s="1489"/>
      <c r="S6" s="1489"/>
    </row>
    <row r="7" spans="1:22">
      <c r="A7" s="2603" t="str">
        <f>'数据-取费表'!AN7</f>
        <v>收益法 (元)414</v>
      </c>
      <c r="B7" s="2601">
        <f ca="1">IF(F7="是",'数据-取费表'!AO7,0)</f>
        <v>223.16909999999999</v>
      </c>
      <c r="C7" s="1872" t="s">
        <v>1648</v>
      </c>
      <c r="D7" s="2708"/>
      <c r="E7" s="2605">
        <f>IF(OR(A7=0,F7="否"),0,'数据-取费表'!K7+'数据-取费表'!S7)</f>
        <v>80.64</v>
      </c>
      <c r="F7" s="1876" t="s">
        <v>1654</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1648</v>
      </c>
      <c r="D8" s="2708"/>
      <c r="E8" s="2605">
        <f>IF(OR(A8=0,F8="否"),0,'数据-取费表'!K8+'数据-取费表'!S8)</f>
        <v>0</v>
      </c>
      <c r="F8" s="1876" t="s">
        <v>1654</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1648</v>
      </c>
      <c r="D9" s="2708"/>
      <c r="E9" s="2605">
        <f>IF(OR(A9=0,F9="否"),0,'数据-取费表'!K9+'数据-取费表'!S9)</f>
        <v>0</v>
      </c>
      <c r="F9" s="1876" t="s">
        <v>1654</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1648</v>
      </c>
      <c r="D10" s="2708"/>
      <c r="E10" s="2605">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1648</v>
      </c>
      <c r="D11" s="2708"/>
      <c r="E11" s="2605">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1648</v>
      </c>
      <c r="D12" s="2708"/>
      <c r="E12" s="2605">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1648</v>
      </c>
      <c r="D13" s="2709"/>
      <c r="E13" s="2605">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5"/>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683</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684</v>
      </c>
      <c r="B3" s="353">
        <f>IF(C2="——",C49,ROUND(B2*10000/D3,0))</f>
        <v>0</v>
      </c>
      <c r="C3" s="354" t="s">
        <v>1662</v>
      </c>
      <c r="D3" s="353">
        <f>IF(D1="",'数据-汇总表'!E3,SUMIF('数据-汇总表'!$C19:$C33,D1,'数据-汇总表'!$E19:$E33))</f>
        <v>139.07999999999998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1663</v>
      </c>
      <c r="B4" s="356"/>
      <c r="C4" s="3729" t="s">
        <v>1664</v>
      </c>
      <c r="D4" s="3730"/>
      <c r="E4" s="3731" t="s">
        <v>1665</v>
      </c>
      <c r="F4" s="3732"/>
      <c r="G4" s="3729" t="s">
        <v>1666</v>
      </c>
      <c r="H4" s="3730"/>
      <c r="I4" s="3729" t="s">
        <v>1667</v>
      </c>
      <c r="J4" s="3730"/>
      <c r="K4" s="1889" t="s">
        <v>1668</v>
      </c>
      <c r="L4" s="2714"/>
      <c r="M4" s="2715"/>
      <c r="N4" s="2715"/>
      <c r="O4" s="2715"/>
      <c r="P4" s="3733" t="s">
        <v>1669</v>
      </c>
      <c r="Q4" s="3734"/>
      <c r="R4" s="3739" t="s">
        <v>1665</v>
      </c>
      <c r="S4" s="3740"/>
      <c r="T4" s="3739" t="s">
        <v>1666</v>
      </c>
      <c r="U4" s="3740"/>
      <c r="V4" s="3745" t="s">
        <v>1667</v>
      </c>
      <c r="W4" s="3745"/>
      <c r="X4" s="1355"/>
      <c r="Y4" s="3739" t="s">
        <v>1669</v>
      </c>
      <c r="Z4" s="3740"/>
      <c r="AA4" s="3726" t="s">
        <v>1665</v>
      </c>
      <c r="AB4" s="3726" t="s">
        <v>1666</v>
      </c>
      <c r="AC4" s="3726" t="s">
        <v>1667</v>
      </c>
    </row>
    <row r="5" spans="1:29" ht="15">
      <c r="A5" s="358"/>
      <c r="B5" s="359"/>
      <c r="C5" s="3748" t="s">
        <v>1670</v>
      </c>
      <c r="D5" s="3749"/>
      <c r="E5" s="3755" t="s">
        <v>1671</v>
      </c>
      <c r="F5" s="3756"/>
      <c r="G5" s="3748" t="s">
        <v>1672</v>
      </c>
      <c r="H5" s="3749"/>
      <c r="I5" s="3748" t="s">
        <v>1673</v>
      </c>
      <c r="J5" s="3749"/>
      <c r="K5" s="1890"/>
      <c r="L5" s="2714"/>
      <c r="M5" s="2715"/>
      <c r="N5" s="2715"/>
      <c r="O5" s="2715"/>
      <c r="P5" s="3735"/>
      <c r="Q5" s="3736"/>
      <c r="R5" s="3741"/>
      <c r="S5" s="3742"/>
      <c r="T5" s="3741"/>
      <c r="U5" s="3742"/>
      <c r="V5" s="3745"/>
      <c r="W5" s="3745"/>
      <c r="X5" s="1355"/>
      <c r="Y5" s="3741"/>
      <c r="Z5" s="3742"/>
      <c r="AA5" s="3727"/>
      <c r="AB5" s="3727"/>
      <c r="AC5" s="3727"/>
    </row>
    <row r="6" spans="1:29" ht="15.75" thickBot="1">
      <c r="A6" s="360"/>
      <c r="B6" s="361"/>
      <c r="C6" s="3746" t="s">
        <v>1674</v>
      </c>
      <c r="D6" s="3747"/>
      <c r="E6" s="3753" t="s">
        <v>1674</v>
      </c>
      <c r="F6" s="3754"/>
      <c r="G6" s="3746" t="s">
        <v>1674</v>
      </c>
      <c r="H6" s="3747"/>
      <c r="I6" s="3746" t="s">
        <v>1674</v>
      </c>
      <c r="J6" s="3747"/>
      <c r="K6" s="1890" t="s">
        <v>1675</v>
      </c>
      <c r="L6" s="2714"/>
      <c r="M6" s="2715"/>
      <c r="N6" s="2715"/>
      <c r="O6" s="2715"/>
      <c r="P6" s="3737"/>
      <c r="Q6" s="3738"/>
      <c r="R6" s="3741"/>
      <c r="S6" s="3742"/>
      <c r="T6" s="3743"/>
      <c r="U6" s="3744"/>
      <c r="V6" s="3745"/>
      <c r="W6" s="3745"/>
      <c r="X6" s="1355"/>
      <c r="Y6" s="3743"/>
      <c r="Z6" s="3744"/>
      <c r="AA6" s="3728"/>
      <c r="AB6" s="3728"/>
      <c r="AC6" s="3728"/>
    </row>
    <row r="7" spans="1:29" s="108" customFormat="1" ht="15.75" thickBot="1">
      <c r="A7" s="362" t="s">
        <v>1676</v>
      </c>
      <c r="B7" s="363"/>
      <c r="C7" s="364">
        <f>'数据-取费表'!B2</f>
        <v>45405</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50" t="s">
        <v>1677</v>
      </c>
      <c r="Q7" s="3752"/>
      <c r="R7" s="701" t="s">
        <v>20</v>
      </c>
      <c r="S7" s="702">
        <f t="shared" ref="S7:S15" si="0">F7</f>
        <v>0</v>
      </c>
      <c r="T7" s="701" t="s">
        <v>20</v>
      </c>
      <c r="U7" s="702">
        <f t="shared" ref="U7:U15" si="1">H7</f>
        <v>0</v>
      </c>
      <c r="V7" s="701" t="s">
        <v>20</v>
      </c>
      <c r="W7" s="702">
        <f t="shared" ref="W7:W15" si="2">J7</f>
        <v>0</v>
      </c>
      <c r="X7" s="703"/>
      <c r="Y7" s="3750" t="s">
        <v>1677</v>
      </c>
      <c r="Z7" s="3751"/>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50" t="s">
        <v>1680</v>
      </c>
      <c r="Q8" s="3751"/>
      <c r="R8" s="701" t="s">
        <v>20</v>
      </c>
      <c r="S8" s="702">
        <f t="shared" si="0"/>
        <v>100</v>
      </c>
      <c r="T8" s="701" t="s">
        <v>20</v>
      </c>
      <c r="U8" s="702">
        <f t="shared" si="1"/>
        <v>100</v>
      </c>
      <c r="V8" s="701" t="s">
        <v>20</v>
      </c>
      <c r="W8" s="702">
        <f t="shared" si="2"/>
        <v>100</v>
      </c>
      <c r="X8" s="703"/>
      <c r="Y8" s="3750" t="s">
        <v>1680</v>
      </c>
      <c r="Z8" s="3751"/>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25" t="s">
        <v>1683</v>
      </c>
      <c r="Q9" s="1343" t="str">
        <f t="shared" ref="Q9:Q15" si="6">B9</f>
        <v>用途</v>
      </c>
      <c r="R9" s="701" t="s">
        <v>14</v>
      </c>
      <c r="S9" s="702">
        <f t="shared" si="0"/>
        <v>100</v>
      </c>
      <c r="T9" s="701" t="s">
        <v>14</v>
      </c>
      <c r="U9" s="702">
        <f t="shared" si="1"/>
        <v>100</v>
      </c>
      <c r="V9" s="701" t="s">
        <v>14</v>
      </c>
      <c r="W9" s="702">
        <f t="shared" si="2"/>
        <v>100</v>
      </c>
      <c r="X9" s="703"/>
      <c r="Y9" s="3589"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25"/>
      <c r="Q10" s="1343" t="str">
        <f t="shared" si="6"/>
        <v>土地使用年限（年）</v>
      </c>
      <c r="R10" s="701" t="s">
        <v>14</v>
      </c>
      <c r="S10" s="702">
        <f t="shared" si="0"/>
        <v>100</v>
      </c>
      <c r="T10" s="701" t="s">
        <v>14</v>
      </c>
      <c r="U10" s="702">
        <f t="shared" si="1"/>
        <v>100</v>
      </c>
      <c r="V10" s="701" t="s">
        <v>14</v>
      </c>
      <c r="W10" s="702">
        <f t="shared" si="2"/>
        <v>100</v>
      </c>
      <c r="X10" s="703"/>
      <c r="Y10" s="3589"/>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25"/>
      <c r="Q11" s="1343" t="str">
        <f t="shared" si="6"/>
        <v>容积率</v>
      </c>
      <c r="R11" s="701" t="s">
        <v>18</v>
      </c>
      <c r="S11" s="702" t="e">
        <f t="shared" si="0"/>
        <v>#N/A</v>
      </c>
      <c r="T11" s="701" t="s">
        <v>18</v>
      </c>
      <c r="U11" s="702" t="e">
        <f t="shared" si="1"/>
        <v>#N/A</v>
      </c>
      <c r="V11" s="701" t="s">
        <v>18</v>
      </c>
      <c r="W11" s="702" t="e">
        <f t="shared" si="2"/>
        <v>#N/A</v>
      </c>
      <c r="X11" s="703"/>
      <c r="Y11" s="358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25"/>
      <c r="Q12" s="1343">
        <f t="shared" si="6"/>
        <v>111</v>
      </c>
      <c r="R12" s="701" t="s">
        <v>18</v>
      </c>
      <c r="S12" s="702">
        <f t="shared" si="0"/>
        <v>100</v>
      </c>
      <c r="T12" s="701" t="s">
        <v>18</v>
      </c>
      <c r="U12" s="702">
        <f t="shared" si="1"/>
        <v>100</v>
      </c>
      <c r="V12" s="701" t="s">
        <v>18</v>
      </c>
      <c r="W12" s="702">
        <f t="shared" si="2"/>
        <v>100</v>
      </c>
      <c r="X12" s="703"/>
      <c r="Y12" s="358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25"/>
      <c r="Q13" s="1343">
        <f t="shared" si="6"/>
        <v>111</v>
      </c>
      <c r="R13" s="701" t="s">
        <v>18</v>
      </c>
      <c r="S13" s="702">
        <f t="shared" si="0"/>
        <v>100</v>
      </c>
      <c r="T13" s="701" t="s">
        <v>18</v>
      </c>
      <c r="U13" s="702">
        <f t="shared" si="1"/>
        <v>100</v>
      </c>
      <c r="V13" s="701" t="s">
        <v>18</v>
      </c>
      <c r="W13" s="702">
        <f t="shared" si="2"/>
        <v>100</v>
      </c>
      <c r="X13" s="703"/>
      <c r="Y13" s="358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25"/>
      <c r="Q14" s="1343">
        <f t="shared" si="6"/>
        <v>111</v>
      </c>
      <c r="R14" s="701" t="s">
        <v>18</v>
      </c>
      <c r="S14" s="702">
        <f t="shared" si="0"/>
        <v>100</v>
      </c>
      <c r="T14" s="701" t="s">
        <v>18</v>
      </c>
      <c r="U14" s="702">
        <f t="shared" si="1"/>
        <v>100</v>
      </c>
      <c r="V14" s="701" t="s">
        <v>18</v>
      </c>
      <c r="W14" s="702">
        <f t="shared" si="2"/>
        <v>100</v>
      </c>
      <c r="X14" s="703"/>
      <c r="Y14" s="3589"/>
      <c r="Z14" s="52">
        <f t="shared" si="7"/>
        <v>111</v>
      </c>
      <c r="AA14" s="704">
        <f t="shared" si="3"/>
        <v>1</v>
      </c>
      <c r="AB14" s="704">
        <f t="shared" si="4"/>
        <v>1</v>
      </c>
      <c r="AC14" s="704">
        <f t="shared" si="5"/>
        <v>1</v>
      </c>
    </row>
    <row r="15" spans="1:29" ht="85.5">
      <c r="A15" s="391" t="s">
        <v>1687</v>
      </c>
      <c r="B15" s="61" t="s">
        <v>1254</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3" t="s">
        <v>1688</v>
      </c>
      <c r="Q15" s="1352" t="str">
        <f t="shared" si="6"/>
        <v>居住社区成熟度</v>
      </c>
      <c r="R15" s="705" t="s">
        <v>18</v>
      </c>
      <c r="S15" s="706">
        <f t="shared" si="0"/>
        <v>100</v>
      </c>
      <c r="T15" s="705" t="s">
        <v>18</v>
      </c>
      <c r="U15" s="706">
        <f t="shared" si="1"/>
        <v>100</v>
      </c>
      <c r="V15" s="705" t="s">
        <v>18</v>
      </c>
      <c r="W15" s="706">
        <f t="shared" si="2"/>
        <v>100</v>
      </c>
      <c r="X15" s="1355"/>
      <c r="Y15" s="3716"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4"/>
      <c r="Q16" s="1352"/>
      <c r="R16" s="705"/>
      <c r="S16" s="706"/>
      <c r="T16" s="705"/>
      <c r="U16" s="706"/>
      <c r="V16" s="705"/>
      <c r="W16" s="706"/>
      <c r="X16" s="1355"/>
      <c r="Y16" s="3717"/>
      <c r="Z16" s="1356"/>
      <c r="AA16" s="1353">
        <v>1</v>
      </c>
      <c r="AB16" s="1353">
        <v>1</v>
      </c>
      <c r="AC16" s="1353">
        <v>1</v>
      </c>
    </row>
    <row r="17" spans="1:29" ht="71.25">
      <c r="A17" s="379"/>
      <c r="B17" s="402" t="s">
        <v>1256</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4"/>
      <c r="Q17" s="1352" t="str">
        <f>B17</f>
        <v>交通便捷度</v>
      </c>
      <c r="R17" s="705" t="s">
        <v>18</v>
      </c>
      <c r="S17" s="706">
        <f>F17</f>
        <v>100</v>
      </c>
      <c r="T17" s="705" t="s">
        <v>18</v>
      </c>
      <c r="U17" s="706">
        <f>H17</f>
        <v>100</v>
      </c>
      <c r="V17" s="705" t="s">
        <v>18</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4"/>
      <c r="Q18" s="1352"/>
      <c r="R18" s="705"/>
      <c r="S18" s="706"/>
      <c r="T18" s="705"/>
      <c r="U18" s="706"/>
      <c r="V18" s="705"/>
      <c r="W18" s="706"/>
      <c r="X18" s="1355"/>
      <c r="Y18" s="3717"/>
      <c r="Z18" s="1356"/>
      <c r="AA18" s="1353">
        <v>1</v>
      </c>
      <c r="AB18" s="1353">
        <v>1</v>
      </c>
      <c r="AC18" s="1353">
        <v>1</v>
      </c>
    </row>
    <row r="19" spans="1:29" ht="42.75">
      <c r="A19" s="379"/>
      <c r="B19" s="402" t="s">
        <v>1255</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4"/>
      <c r="Q19" s="1352" t="str">
        <f>B19</f>
        <v>公共配套设施</v>
      </c>
      <c r="R19" s="705" t="s">
        <v>18</v>
      </c>
      <c r="S19" s="706">
        <f>F19</f>
        <v>100</v>
      </c>
      <c r="T19" s="705" t="s">
        <v>18</v>
      </c>
      <c r="U19" s="706">
        <f>H19</f>
        <v>100</v>
      </c>
      <c r="V19" s="705" t="s">
        <v>18</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4"/>
      <c r="Q20" s="1352"/>
      <c r="R20" s="705"/>
      <c r="S20" s="706"/>
      <c r="T20" s="705"/>
      <c r="U20" s="706"/>
      <c r="V20" s="705"/>
      <c r="W20" s="706"/>
      <c r="X20" s="1355"/>
      <c r="Y20" s="3717"/>
      <c r="Z20" s="1356"/>
      <c r="AA20" s="1353">
        <v>1</v>
      </c>
      <c r="AB20" s="1353">
        <v>1</v>
      </c>
      <c r="AC20" s="1353">
        <v>1</v>
      </c>
    </row>
    <row r="21" spans="1:29" ht="28.5">
      <c r="A21" s="379"/>
      <c r="B21" s="1131" t="s">
        <v>1257</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4"/>
      <c r="Q22" s="1352"/>
      <c r="R22" s="705"/>
      <c r="S22" s="706"/>
      <c r="T22" s="705"/>
      <c r="U22" s="706"/>
      <c r="V22" s="705"/>
      <c r="W22" s="706"/>
      <c r="X22" s="1355"/>
      <c r="Y22" s="3717"/>
      <c r="Z22" s="1356"/>
      <c r="AA22" s="1353">
        <v>1</v>
      </c>
      <c r="AB22" s="1353">
        <v>1</v>
      </c>
      <c r="AC22" s="1353">
        <v>1</v>
      </c>
    </row>
    <row r="23" spans="1:29" ht="42.75">
      <c r="A23" s="379"/>
      <c r="B23" s="402" t="s">
        <v>1258</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4"/>
      <c r="Q23" s="1352" t="str">
        <f>B23</f>
        <v>自然及人文环境</v>
      </c>
      <c r="R23" s="705" t="s">
        <v>18</v>
      </c>
      <c r="S23" s="706">
        <f>F23</f>
        <v>100</v>
      </c>
      <c r="T23" s="705" t="s">
        <v>18</v>
      </c>
      <c r="U23" s="706">
        <f>H23</f>
        <v>100</v>
      </c>
      <c r="V23" s="705" t="s">
        <v>18</v>
      </c>
      <c r="W23" s="706">
        <f>J23</f>
        <v>100</v>
      </c>
      <c r="X23" s="1355"/>
      <c r="Y23" s="371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4"/>
      <c r="Q24" s="1352"/>
      <c r="R24" s="705"/>
      <c r="S24" s="706"/>
      <c r="T24" s="705"/>
      <c r="U24" s="706"/>
      <c r="V24" s="705"/>
      <c r="W24" s="706"/>
      <c r="X24" s="1355"/>
      <c r="Y24" s="3717"/>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7"/>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4"/>
      <c r="Q26" s="1352" t="str">
        <f t="shared" si="11"/>
        <v>朝向</v>
      </c>
      <c r="R26" s="705" t="s">
        <v>18</v>
      </c>
      <c r="S26" s="706">
        <f t="shared" si="12"/>
        <v>100</v>
      </c>
      <c r="T26" s="705" t="s">
        <v>18</v>
      </c>
      <c r="U26" s="706">
        <f t="shared" si="13"/>
        <v>100</v>
      </c>
      <c r="V26" s="705" t="s">
        <v>18</v>
      </c>
      <c r="W26" s="706">
        <f t="shared" si="14"/>
        <v>100</v>
      </c>
      <c r="X26" s="1355"/>
      <c r="Y26" s="371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4"/>
      <c r="Q27" s="1343">
        <f t="shared" si="11"/>
        <v>111</v>
      </c>
      <c r="R27" s="701" t="s">
        <v>18</v>
      </c>
      <c r="S27" s="702">
        <f t="shared" si="12"/>
        <v>100</v>
      </c>
      <c r="T27" s="701" t="s">
        <v>18</v>
      </c>
      <c r="U27" s="702">
        <f t="shared" si="13"/>
        <v>100</v>
      </c>
      <c r="V27" s="701" t="s">
        <v>18</v>
      </c>
      <c r="W27" s="702">
        <f t="shared" si="14"/>
        <v>100</v>
      </c>
      <c r="X27" s="703"/>
      <c r="Y27" s="371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4"/>
      <c r="Q28" s="1352">
        <f t="shared" si="11"/>
        <v>111</v>
      </c>
      <c r="R28" s="705" t="s">
        <v>18</v>
      </c>
      <c r="S28" s="706">
        <f t="shared" si="12"/>
        <v>100</v>
      </c>
      <c r="T28" s="705" t="s">
        <v>18</v>
      </c>
      <c r="U28" s="706">
        <f t="shared" si="13"/>
        <v>100</v>
      </c>
      <c r="V28" s="705" t="s">
        <v>18</v>
      </c>
      <c r="W28" s="706">
        <f t="shared" si="14"/>
        <v>100</v>
      </c>
      <c r="X28" s="1355"/>
      <c r="Y28" s="371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4"/>
      <c r="Q29" s="1352">
        <f t="shared" si="11"/>
        <v>111</v>
      </c>
      <c r="R29" s="705" t="s">
        <v>18</v>
      </c>
      <c r="S29" s="706">
        <f t="shared" si="12"/>
        <v>100</v>
      </c>
      <c r="T29" s="705" t="s">
        <v>18</v>
      </c>
      <c r="U29" s="706">
        <f t="shared" si="13"/>
        <v>100</v>
      </c>
      <c r="V29" s="705" t="s">
        <v>18</v>
      </c>
      <c r="W29" s="706">
        <f t="shared" si="14"/>
        <v>100</v>
      </c>
      <c r="X29" s="1355"/>
      <c r="Y29" s="371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4"/>
      <c r="Q30" s="1352">
        <f t="shared" si="11"/>
        <v>111</v>
      </c>
      <c r="R30" s="705" t="s">
        <v>18</v>
      </c>
      <c r="S30" s="706">
        <f t="shared" si="12"/>
        <v>100</v>
      </c>
      <c r="T30" s="705" t="s">
        <v>18</v>
      </c>
      <c r="U30" s="706">
        <f t="shared" si="13"/>
        <v>100</v>
      </c>
      <c r="V30" s="705" t="s">
        <v>18</v>
      </c>
      <c r="W30" s="706">
        <f t="shared" si="14"/>
        <v>100</v>
      </c>
      <c r="X30" s="1355"/>
      <c r="Y30" s="371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4"/>
      <c r="Q31" s="1352">
        <f t="shared" si="11"/>
        <v>111</v>
      </c>
      <c r="R31" s="705" t="s">
        <v>18</v>
      </c>
      <c r="S31" s="706">
        <f t="shared" si="12"/>
        <v>100</v>
      </c>
      <c r="T31" s="705" t="s">
        <v>18</v>
      </c>
      <c r="U31" s="706">
        <f t="shared" si="13"/>
        <v>100</v>
      </c>
      <c r="V31" s="705" t="s">
        <v>18</v>
      </c>
      <c r="W31" s="706">
        <f t="shared" si="14"/>
        <v>100</v>
      </c>
      <c r="X31" s="1355"/>
      <c r="Y31" s="3717"/>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18" t="s">
        <v>1693</v>
      </c>
      <c r="Q32" s="1352" t="str">
        <f t="shared" si="11"/>
        <v>建筑类型</v>
      </c>
      <c r="R32" s="705" t="s">
        <v>18</v>
      </c>
      <c r="S32" s="706">
        <f t="shared" si="12"/>
        <v>100</v>
      </c>
      <c r="T32" s="705" t="s">
        <v>18</v>
      </c>
      <c r="U32" s="706">
        <f t="shared" si="13"/>
        <v>100</v>
      </c>
      <c r="V32" s="705" t="s">
        <v>18</v>
      </c>
      <c r="W32" s="706">
        <f t="shared" si="14"/>
        <v>100</v>
      </c>
      <c r="X32" s="1355"/>
      <c r="Y32" s="3721"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19"/>
      <c r="Q33" s="707" t="str">
        <f t="shared" si="11"/>
        <v>项目建筑规模</v>
      </c>
      <c r="R33" s="708" t="s">
        <v>18</v>
      </c>
      <c r="S33" s="709" t="e">
        <f t="shared" si="12"/>
        <v>#N/A</v>
      </c>
      <c r="T33" s="708" t="s">
        <v>18</v>
      </c>
      <c r="U33" s="709" t="e">
        <f t="shared" si="13"/>
        <v>#N/A</v>
      </c>
      <c r="V33" s="708" t="s">
        <v>18</v>
      </c>
      <c r="W33" s="709" t="e">
        <f t="shared" si="14"/>
        <v>#N/A</v>
      </c>
      <c r="X33" s="710"/>
      <c r="Y33" s="3721"/>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9"/>
      <c r="Q34" s="1352" t="str">
        <f t="shared" si="11"/>
        <v>建筑结构</v>
      </c>
      <c r="R34" s="705" t="s">
        <v>18</v>
      </c>
      <c r="S34" s="706">
        <f t="shared" si="12"/>
        <v>100</v>
      </c>
      <c r="T34" s="705" t="s">
        <v>18</v>
      </c>
      <c r="U34" s="706">
        <f t="shared" si="13"/>
        <v>100</v>
      </c>
      <c r="V34" s="705" t="s">
        <v>18</v>
      </c>
      <c r="W34" s="706">
        <f t="shared" si="14"/>
        <v>100</v>
      </c>
      <c r="X34" s="1355"/>
      <c r="Y34" s="3721"/>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9"/>
      <c r="Q35" s="1352" t="str">
        <f t="shared" si="11"/>
        <v>建筑品质</v>
      </c>
      <c r="R35" s="705" t="s">
        <v>18</v>
      </c>
      <c r="S35" s="706">
        <f t="shared" si="12"/>
        <v>100</v>
      </c>
      <c r="T35" s="705" t="s">
        <v>18</v>
      </c>
      <c r="U35" s="706">
        <f t="shared" si="13"/>
        <v>100</v>
      </c>
      <c r="V35" s="705" t="s">
        <v>18</v>
      </c>
      <c r="W35" s="706">
        <f t="shared" si="14"/>
        <v>100</v>
      </c>
      <c r="X35" s="1355"/>
      <c r="Y35" s="3721"/>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9"/>
      <c r="Q36" s="1352" t="str">
        <f t="shared" si="11"/>
        <v>公共部分装修</v>
      </c>
      <c r="R36" s="705" t="s">
        <v>18</v>
      </c>
      <c r="S36" s="706">
        <f t="shared" si="12"/>
        <v>100</v>
      </c>
      <c r="T36" s="705" t="s">
        <v>18</v>
      </c>
      <c r="U36" s="706">
        <f t="shared" si="13"/>
        <v>100</v>
      </c>
      <c r="V36" s="705" t="s">
        <v>18</v>
      </c>
      <c r="W36" s="706">
        <f t="shared" si="14"/>
        <v>100</v>
      </c>
      <c r="X36" s="1355"/>
      <c r="Y36" s="3721"/>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9"/>
      <c r="Q37" s="1343" t="str">
        <f t="shared" si="11"/>
        <v>成新度</v>
      </c>
      <c r="R37" s="701" t="s">
        <v>18</v>
      </c>
      <c r="S37" s="702" t="e">
        <f t="shared" si="12"/>
        <v>#N/A</v>
      </c>
      <c r="T37" s="701" t="s">
        <v>18</v>
      </c>
      <c r="U37" s="702" t="e">
        <f t="shared" si="13"/>
        <v>#N/A</v>
      </c>
      <c r="V37" s="701" t="s">
        <v>18</v>
      </c>
      <c r="W37" s="702" t="e">
        <f t="shared" si="14"/>
        <v>#N/A</v>
      </c>
      <c r="X37" s="703"/>
      <c r="Y37" s="3721"/>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9" t="s">
        <v>1693</v>
      </c>
      <c r="Q38" s="1352" t="str">
        <f t="shared" si="11"/>
        <v>物业管理</v>
      </c>
      <c r="R38" s="705" t="s">
        <v>18</v>
      </c>
      <c r="S38" s="706">
        <f t="shared" si="12"/>
        <v>100</v>
      </c>
      <c r="T38" s="705" t="s">
        <v>18</v>
      </c>
      <c r="U38" s="706">
        <f t="shared" si="13"/>
        <v>100</v>
      </c>
      <c r="V38" s="705" t="s">
        <v>18</v>
      </c>
      <c r="W38" s="706">
        <f t="shared" si="14"/>
        <v>100</v>
      </c>
      <c r="X38" s="1355"/>
      <c r="Y38" s="3721"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9"/>
      <c r="Q39" s="1352" t="str">
        <f t="shared" si="11"/>
        <v>市政基础设施</v>
      </c>
      <c r="R39" s="705" t="s">
        <v>18</v>
      </c>
      <c r="S39" s="706">
        <f t="shared" si="12"/>
        <v>100</v>
      </c>
      <c r="T39" s="705" t="s">
        <v>18</v>
      </c>
      <c r="U39" s="706">
        <f t="shared" si="13"/>
        <v>100</v>
      </c>
      <c r="V39" s="705" t="s">
        <v>18</v>
      </c>
      <c r="W39" s="706">
        <f t="shared" si="14"/>
        <v>100</v>
      </c>
      <c r="X39" s="1355"/>
      <c r="Y39" s="3721"/>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9"/>
      <c r="Q40" s="1352" t="str">
        <f t="shared" si="11"/>
        <v>房型</v>
      </c>
      <c r="R40" s="705" t="s">
        <v>18</v>
      </c>
      <c r="S40" s="706">
        <f t="shared" si="12"/>
        <v>100</v>
      </c>
      <c r="T40" s="705" t="s">
        <v>18</v>
      </c>
      <c r="U40" s="706">
        <f t="shared" si="13"/>
        <v>100</v>
      </c>
      <c r="V40" s="705" t="s">
        <v>18</v>
      </c>
      <c r="W40" s="706">
        <f t="shared" si="14"/>
        <v>100</v>
      </c>
      <c r="X40" s="1355"/>
      <c r="Y40" s="3721"/>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9"/>
      <c r="Q41" s="707" t="str">
        <f t="shared" si="11"/>
        <v>单套/主力户型建筑面积</v>
      </c>
      <c r="R41" s="708" t="s">
        <v>18</v>
      </c>
      <c r="S41" s="709">
        <f t="shared" si="12"/>
        <v>100</v>
      </c>
      <c r="T41" s="708" t="s">
        <v>18</v>
      </c>
      <c r="U41" s="709">
        <f t="shared" si="13"/>
        <v>100</v>
      </c>
      <c r="V41" s="708" t="s">
        <v>18</v>
      </c>
      <c r="W41" s="709">
        <f t="shared" si="14"/>
        <v>100</v>
      </c>
      <c r="X41" s="710"/>
      <c r="Y41" s="3721"/>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19"/>
      <c r="Q42" s="1352" t="str">
        <f t="shared" si="11"/>
        <v>内部装修</v>
      </c>
      <c r="R42" s="705" t="s">
        <v>18</v>
      </c>
      <c r="S42" s="706">
        <f t="shared" si="12"/>
        <v>100</v>
      </c>
      <c r="T42" s="705" t="s">
        <v>18</v>
      </c>
      <c r="U42" s="706">
        <f t="shared" si="13"/>
        <v>100</v>
      </c>
      <c r="V42" s="705" t="s">
        <v>18</v>
      </c>
      <c r="W42" s="706">
        <f t="shared" si="14"/>
        <v>100</v>
      </c>
      <c r="X42" s="1355"/>
      <c r="Y42" s="3721"/>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9"/>
      <c r="Q43" s="1352" t="str">
        <f t="shared" si="11"/>
        <v>内部装修维护情况</v>
      </c>
      <c r="R43" s="705" t="s">
        <v>18</v>
      </c>
      <c r="S43" s="706">
        <f t="shared" si="12"/>
        <v>100</v>
      </c>
      <c r="T43" s="705" t="s">
        <v>18</v>
      </c>
      <c r="U43" s="706">
        <f t="shared" si="13"/>
        <v>100</v>
      </c>
      <c r="V43" s="705" t="s">
        <v>18</v>
      </c>
      <c r="W43" s="706">
        <f t="shared" si="14"/>
        <v>100</v>
      </c>
      <c r="X43" s="1355"/>
      <c r="Y43" s="372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9"/>
      <c r="Q44" s="1343">
        <f t="shared" si="11"/>
        <v>111</v>
      </c>
      <c r="R44" s="701" t="s">
        <v>18</v>
      </c>
      <c r="S44" s="702">
        <f t="shared" si="12"/>
        <v>100</v>
      </c>
      <c r="T44" s="701" t="s">
        <v>18</v>
      </c>
      <c r="U44" s="702">
        <f t="shared" si="13"/>
        <v>100</v>
      </c>
      <c r="V44" s="701" t="s">
        <v>18</v>
      </c>
      <c r="W44" s="702">
        <f t="shared" si="14"/>
        <v>100</v>
      </c>
      <c r="X44" s="703"/>
      <c r="Y44" s="372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9"/>
      <c r="Q45" s="1352">
        <f t="shared" si="11"/>
        <v>111</v>
      </c>
      <c r="R45" s="705" t="s">
        <v>18</v>
      </c>
      <c r="S45" s="706">
        <f t="shared" si="12"/>
        <v>100</v>
      </c>
      <c r="T45" s="705" t="s">
        <v>18</v>
      </c>
      <c r="U45" s="706">
        <f t="shared" si="13"/>
        <v>100</v>
      </c>
      <c r="V45" s="705" t="s">
        <v>18</v>
      </c>
      <c r="W45" s="706">
        <f t="shared" si="14"/>
        <v>100</v>
      </c>
      <c r="X45" s="1355"/>
      <c r="Y45" s="372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20"/>
      <c r="Q46" s="1352">
        <f t="shared" si="11"/>
        <v>111</v>
      </c>
      <c r="R46" s="705" t="s">
        <v>17</v>
      </c>
      <c r="S46" s="706">
        <f t="shared" si="12"/>
        <v>100</v>
      </c>
      <c r="T46" s="705" t="s">
        <v>17</v>
      </c>
      <c r="U46" s="706">
        <f t="shared" si="13"/>
        <v>100</v>
      </c>
      <c r="V46" s="705" t="s">
        <v>17</v>
      </c>
      <c r="W46" s="706">
        <f t="shared" si="14"/>
        <v>100</v>
      </c>
      <c r="X46" s="1355"/>
      <c r="Y46" s="3722"/>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3"/>
      <c r="M47" s="2724"/>
      <c r="N47" s="2715"/>
      <c r="O47" s="2724"/>
      <c r="P47" s="3714" t="str">
        <f>A47</f>
        <v>成交单价（元/平方米）</v>
      </c>
      <c r="Q47" s="3714"/>
      <c r="R47" s="3715">
        <f>E47</f>
        <v>0</v>
      </c>
      <c r="S47" s="3715"/>
      <c r="T47" s="3715">
        <f>G47</f>
        <v>0</v>
      </c>
      <c r="U47" s="3715"/>
      <c r="V47" s="3715">
        <f>I47</f>
        <v>0</v>
      </c>
      <c r="W47" s="3715"/>
      <c r="X47" s="690"/>
      <c r="Y47" s="712"/>
      <c r="Z47" s="690"/>
      <c r="AA47" s="690"/>
      <c r="AB47" s="690"/>
      <c r="AC47" s="690"/>
    </row>
    <row r="48" spans="1:29" ht="15.75" thickBot="1">
      <c r="A48" s="437" t="s">
        <v>1706</v>
      </c>
      <c r="B48" s="438"/>
      <c r="C48" s="1160" t="e">
        <f>R49</f>
        <v>#DIV/0!</v>
      </c>
      <c r="D48" s="2317" t="s">
        <v>2134</v>
      </c>
      <c r="E48" s="1161" t="e">
        <f>R48</f>
        <v>#DIV/0!</v>
      </c>
      <c r="F48" s="2318"/>
      <c r="G48" s="1160" t="e">
        <f>T48</f>
        <v>#DIV/0!</v>
      </c>
      <c r="H48" s="2318"/>
      <c r="I48" s="1161" t="e">
        <f>V48</f>
        <v>#DIV/0!</v>
      </c>
      <c r="J48" s="2318"/>
      <c r="K48" s="2319">
        <f>F48+H48+J48</f>
        <v>0</v>
      </c>
      <c r="L48" s="2723"/>
      <c r="M48" s="2724"/>
      <c r="N48" s="2724"/>
      <c r="O48" s="272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3"/>
      <c r="M49" s="2724"/>
      <c r="N49" s="2724"/>
      <c r="O49" s="2724"/>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1257</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231" priority="19" stopIfTrue="1" operator="containsText" text="超过">
      <formula>NOT(ISERROR(SEARCH("超过",F52)))</formula>
    </cfRule>
  </conditionalFormatting>
  <conditionalFormatting sqref="J54">
    <cfRule type="containsText" dxfId="230" priority="18" stopIfTrue="1" operator="containsText" text="超过">
      <formula>NOT(ISERROR(SEARCH("超过",J54)))</formula>
    </cfRule>
  </conditionalFormatting>
  <conditionalFormatting sqref="H54">
    <cfRule type="containsText" dxfId="229" priority="17" stopIfTrue="1" operator="containsText" text="超过">
      <formula>NOT(ISERROR(SEARCH("超过",H54)))</formula>
    </cfRule>
  </conditionalFormatting>
  <conditionalFormatting sqref="F54">
    <cfRule type="containsText" dxfId="228" priority="16" stopIfTrue="1" operator="containsText" text="超过">
      <formula>NOT(ISERROR(SEARCH("超过",F54)))</formula>
    </cfRule>
  </conditionalFormatting>
  <conditionalFormatting sqref="F53 H53 J53">
    <cfRule type="containsText" dxfId="227" priority="15" stopIfTrue="1" operator="containsText" text="超过">
      <formula>NOT(ISERROR(SEARCH("超过",F53)))</formula>
    </cfRule>
  </conditionalFormatting>
  <conditionalFormatting sqref="E52">
    <cfRule type="expression" dxfId="226" priority="14" stopIfTrue="1">
      <formula>$F$52="超过30%"</formula>
    </cfRule>
  </conditionalFormatting>
  <conditionalFormatting sqref="G54">
    <cfRule type="expression" dxfId="225" priority="12" stopIfTrue="1">
      <formula>$H$54="超过30%"</formula>
    </cfRule>
  </conditionalFormatting>
  <conditionalFormatting sqref="E53">
    <cfRule type="expression" dxfId="224" priority="11" stopIfTrue="1">
      <formula>$F$53="超过20%"</formula>
    </cfRule>
  </conditionalFormatting>
  <conditionalFormatting sqref="E54">
    <cfRule type="expression" dxfId="223" priority="10" stopIfTrue="1">
      <formula>$F$54="超过30%"</formula>
    </cfRule>
  </conditionalFormatting>
  <conditionalFormatting sqref="G52">
    <cfRule type="expression" dxfId="222" priority="9" stopIfTrue="1">
      <formula>$H$52="超过30%"</formula>
    </cfRule>
  </conditionalFormatting>
  <conditionalFormatting sqref="G53">
    <cfRule type="expression" dxfId="221" priority="8" stopIfTrue="1">
      <formula>$H$53="超过20%"</formula>
    </cfRule>
  </conditionalFormatting>
  <conditionalFormatting sqref="I52">
    <cfRule type="expression" dxfId="220" priority="7" stopIfTrue="1">
      <formula>$J$52="超过30%"</formula>
    </cfRule>
  </conditionalFormatting>
  <conditionalFormatting sqref="I53">
    <cfRule type="expression" dxfId="219" priority="6" stopIfTrue="1">
      <formula>$J$53="超过20%"</formula>
    </cfRule>
  </conditionalFormatting>
  <conditionalFormatting sqref="I54">
    <cfRule type="expression" dxfId="218" priority="5" stopIfTrue="1">
      <formula>$J$54="超过30%"</formula>
    </cfRule>
  </conditionalFormatting>
  <conditionalFormatting sqref="F48">
    <cfRule type="expression" dxfId="217" priority="4">
      <formula>$D$48="简单平均"</formula>
    </cfRule>
  </conditionalFormatting>
  <conditionalFormatting sqref="H48">
    <cfRule type="expression" dxfId="216" priority="3">
      <formula>$D$48="简单平均"</formula>
    </cfRule>
  </conditionalFormatting>
  <conditionalFormatting sqref="J48">
    <cfRule type="expression" dxfId="215" priority="2">
      <formula>$D$48="简单平均"</formula>
    </cfRule>
  </conditionalFormatting>
  <conditionalFormatting sqref="F7:F46 H7:H46 J7:J46">
    <cfRule type="cellIs" dxfId="21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5"/>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139.07999999999998</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1766</v>
      </c>
      <c r="B4" s="356"/>
      <c r="C4" s="3729" t="s">
        <v>1767</v>
      </c>
      <c r="D4" s="3730"/>
      <c r="E4" s="3731" t="s">
        <v>1768</v>
      </c>
      <c r="F4" s="3732"/>
      <c r="G4" s="3729" t="s">
        <v>1769</v>
      </c>
      <c r="H4" s="3730"/>
      <c r="I4" s="3729" t="s">
        <v>1770</v>
      </c>
      <c r="J4" s="3730"/>
      <c r="K4" s="559" t="s">
        <v>1771</v>
      </c>
      <c r="L4" s="2714"/>
      <c r="M4" s="2715"/>
      <c r="N4" s="2715"/>
      <c r="O4" s="2715"/>
      <c r="P4" s="3733" t="s">
        <v>1772</v>
      </c>
      <c r="Q4" s="3734"/>
      <c r="R4" s="3739" t="s">
        <v>1768</v>
      </c>
      <c r="S4" s="3740"/>
      <c r="T4" s="3739" t="s">
        <v>1769</v>
      </c>
      <c r="U4" s="3740"/>
      <c r="V4" s="3745" t="s">
        <v>1770</v>
      </c>
      <c r="W4" s="3745"/>
      <c r="X4" s="1355"/>
      <c r="Y4" s="3739" t="s">
        <v>1772</v>
      </c>
      <c r="Z4" s="3740"/>
      <c r="AA4" s="3726" t="s">
        <v>1768</v>
      </c>
      <c r="AB4" s="3745" t="s">
        <v>1769</v>
      </c>
      <c r="AC4" s="3726" t="s">
        <v>1770</v>
      </c>
    </row>
    <row r="5" spans="1:29" ht="15">
      <c r="A5" s="358"/>
      <c r="B5" s="359"/>
      <c r="C5" s="3748" t="s">
        <v>1670</v>
      </c>
      <c r="D5" s="3749"/>
      <c r="E5" s="3755" t="s">
        <v>1671</v>
      </c>
      <c r="F5" s="3756"/>
      <c r="G5" s="3748" t="s">
        <v>1672</v>
      </c>
      <c r="H5" s="3749"/>
      <c r="I5" s="3748" t="s">
        <v>1673</v>
      </c>
      <c r="J5" s="3749"/>
      <c r="K5" s="559"/>
      <c r="L5" s="2714"/>
      <c r="M5" s="2715"/>
      <c r="N5" s="2715"/>
      <c r="O5" s="2715"/>
      <c r="P5" s="3735"/>
      <c r="Q5" s="3736"/>
      <c r="R5" s="3741"/>
      <c r="S5" s="3742"/>
      <c r="T5" s="3741"/>
      <c r="U5" s="3742"/>
      <c r="V5" s="3745"/>
      <c r="W5" s="3745"/>
      <c r="X5" s="1355"/>
      <c r="Y5" s="3741"/>
      <c r="Z5" s="3742"/>
      <c r="AA5" s="3727"/>
      <c r="AB5" s="3745"/>
      <c r="AC5" s="3727"/>
    </row>
    <row r="6" spans="1:29" ht="15.75" thickBot="1">
      <c r="A6" s="360"/>
      <c r="B6" s="361"/>
      <c r="C6" s="3746" t="s">
        <v>1674</v>
      </c>
      <c r="D6" s="3747"/>
      <c r="E6" s="3753" t="s">
        <v>1674</v>
      </c>
      <c r="F6" s="3754"/>
      <c r="G6" s="3746" t="s">
        <v>1674</v>
      </c>
      <c r="H6" s="3747"/>
      <c r="I6" s="3746" t="s">
        <v>1674</v>
      </c>
      <c r="J6" s="3747"/>
      <c r="K6" s="559" t="s">
        <v>1675</v>
      </c>
      <c r="L6" s="2714"/>
      <c r="M6" s="2715"/>
      <c r="N6" s="2715"/>
      <c r="O6" s="2715"/>
      <c r="P6" s="3737"/>
      <c r="Q6" s="3738"/>
      <c r="R6" s="3741"/>
      <c r="S6" s="3742"/>
      <c r="T6" s="3743"/>
      <c r="U6" s="3744"/>
      <c r="V6" s="3745"/>
      <c r="W6" s="3745"/>
      <c r="X6" s="1355"/>
      <c r="Y6" s="3743"/>
      <c r="Z6" s="3744"/>
      <c r="AA6" s="3728"/>
      <c r="AB6" s="3745"/>
      <c r="AC6" s="3728"/>
    </row>
    <row r="7" spans="1:29" s="108" customFormat="1" ht="15.75" thickBot="1">
      <c r="A7" s="362" t="s">
        <v>1676</v>
      </c>
      <c r="B7" s="363"/>
      <c r="C7" s="364">
        <f>'数据-取费表'!B2</f>
        <v>45405</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50" t="s">
        <v>1677</v>
      </c>
      <c r="Q7" s="3752"/>
      <c r="R7" s="701" t="s">
        <v>14</v>
      </c>
      <c r="S7" s="702">
        <f t="shared" ref="S7:S15" si="0">F7</f>
        <v>0</v>
      </c>
      <c r="T7" s="701" t="s">
        <v>14</v>
      </c>
      <c r="U7" s="702">
        <f t="shared" ref="U7:U15" si="1">H7</f>
        <v>0</v>
      </c>
      <c r="V7" s="701" t="s">
        <v>14</v>
      </c>
      <c r="W7" s="702">
        <f t="shared" ref="W7:W15" si="2">J7</f>
        <v>0</v>
      </c>
      <c r="X7" s="703"/>
      <c r="Y7" s="3750" t="s">
        <v>1677</v>
      </c>
      <c r="Z7" s="3751"/>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50" t="s">
        <v>1680</v>
      </c>
      <c r="Q8" s="3751"/>
      <c r="R8" s="701" t="s">
        <v>14</v>
      </c>
      <c r="S8" s="702">
        <f t="shared" si="0"/>
        <v>100</v>
      </c>
      <c r="T8" s="701" t="s">
        <v>14</v>
      </c>
      <c r="U8" s="702">
        <f t="shared" si="1"/>
        <v>100</v>
      </c>
      <c r="V8" s="701" t="s">
        <v>14</v>
      </c>
      <c r="W8" s="702">
        <f t="shared" si="2"/>
        <v>100</v>
      </c>
      <c r="X8" s="703"/>
      <c r="Y8" s="3750" t="s">
        <v>1680</v>
      </c>
      <c r="Z8" s="3751"/>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25" t="s">
        <v>1683</v>
      </c>
      <c r="Q9" s="1343" t="str">
        <f t="shared" ref="Q9:Q15" si="6">B9</f>
        <v>用途</v>
      </c>
      <c r="R9" s="701" t="s">
        <v>14</v>
      </c>
      <c r="S9" s="702">
        <f t="shared" si="0"/>
        <v>100</v>
      </c>
      <c r="T9" s="701" t="s">
        <v>14</v>
      </c>
      <c r="U9" s="702">
        <f t="shared" si="1"/>
        <v>100</v>
      </c>
      <c r="V9" s="701" t="s">
        <v>14</v>
      </c>
      <c r="W9" s="702">
        <f t="shared" si="2"/>
        <v>100</v>
      </c>
      <c r="X9" s="703"/>
      <c r="Y9" s="3589"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25"/>
      <c r="Q10" s="1343" t="str">
        <f t="shared" si="6"/>
        <v>土地使用年限（年）</v>
      </c>
      <c r="R10" s="701" t="s">
        <v>14</v>
      </c>
      <c r="S10" s="702">
        <f t="shared" si="0"/>
        <v>100</v>
      </c>
      <c r="T10" s="701" t="s">
        <v>14</v>
      </c>
      <c r="U10" s="702">
        <f t="shared" si="1"/>
        <v>100</v>
      </c>
      <c r="V10" s="701" t="s">
        <v>14</v>
      </c>
      <c r="W10" s="702">
        <f t="shared" si="2"/>
        <v>100</v>
      </c>
      <c r="X10" s="703"/>
      <c r="Y10" s="3589"/>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25"/>
      <c r="Q11" s="1343" t="str">
        <f t="shared" si="6"/>
        <v>容积率</v>
      </c>
      <c r="R11" s="701" t="s">
        <v>14</v>
      </c>
      <c r="S11" s="702" t="e">
        <f t="shared" si="0"/>
        <v>#N/A</v>
      </c>
      <c r="T11" s="701" t="s">
        <v>14</v>
      </c>
      <c r="U11" s="702" t="e">
        <f t="shared" si="1"/>
        <v>#N/A</v>
      </c>
      <c r="V11" s="701" t="s">
        <v>14</v>
      </c>
      <c r="W11" s="702" t="e">
        <f t="shared" si="2"/>
        <v>#N/A</v>
      </c>
      <c r="X11" s="703"/>
      <c r="Y11" s="358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25"/>
      <c r="Q12" s="1343">
        <f t="shared" si="6"/>
        <v>111</v>
      </c>
      <c r="R12" s="701" t="s">
        <v>14</v>
      </c>
      <c r="S12" s="702">
        <f t="shared" si="0"/>
        <v>100</v>
      </c>
      <c r="T12" s="701" t="s">
        <v>14</v>
      </c>
      <c r="U12" s="702">
        <f t="shared" si="1"/>
        <v>100</v>
      </c>
      <c r="V12" s="701" t="s">
        <v>14</v>
      </c>
      <c r="W12" s="702">
        <f t="shared" si="2"/>
        <v>100</v>
      </c>
      <c r="X12" s="703"/>
      <c r="Y12" s="358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25"/>
      <c r="Q13" s="1343">
        <f t="shared" si="6"/>
        <v>111</v>
      </c>
      <c r="R13" s="701" t="s">
        <v>14</v>
      </c>
      <c r="S13" s="702">
        <f t="shared" si="0"/>
        <v>100</v>
      </c>
      <c r="T13" s="701" t="s">
        <v>14</v>
      </c>
      <c r="U13" s="702">
        <f t="shared" si="1"/>
        <v>100</v>
      </c>
      <c r="V13" s="701" t="s">
        <v>14</v>
      </c>
      <c r="W13" s="702">
        <f t="shared" si="2"/>
        <v>100</v>
      </c>
      <c r="X13" s="703"/>
      <c r="Y13" s="358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25"/>
      <c r="Q14" s="1343">
        <f t="shared" si="6"/>
        <v>111</v>
      </c>
      <c r="R14" s="701" t="s">
        <v>14</v>
      </c>
      <c r="S14" s="702">
        <f t="shared" si="0"/>
        <v>100</v>
      </c>
      <c r="T14" s="701" t="s">
        <v>14</v>
      </c>
      <c r="U14" s="702">
        <f t="shared" si="1"/>
        <v>100</v>
      </c>
      <c r="V14" s="701" t="s">
        <v>14</v>
      </c>
      <c r="W14" s="702">
        <f t="shared" si="2"/>
        <v>100</v>
      </c>
      <c r="X14" s="703"/>
      <c r="Y14" s="3589"/>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3" t="s">
        <v>1688</v>
      </c>
      <c r="Q15" s="1352" t="str">
        <f t="shared" si="6"/>
        <v>商业繁华度</v>
      </c>
      <c r="R15" s="705" t="s">
        <v>14</v>
      </c>
      <c r="S15" s="706">
        <f t="shared" si="0"/>
        <v>100</v>
      </c>
      <c r="T15" s="705" t="s">
        <v>14</v>
      </c>
      <c r="U15" s="706">
        <f t="shared" si="1"/>
        <v>100</v>
      </c>
      <c r="V15" s="705" t="s">
        <v>14</v>
      </c>
      <c r="W15" s="706">
        <f t="shared" si="2"/>
        <v>100</v>
      </c>
      <c r="X15" s="1355"/>
      <c r="Y15" s="3716"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4"/>
      <c r="Q16" s="1352"/>
      <c r="R16" s="705"/>
      <c r="S16" s="706"/>
      <c r="T16" s="705"/>
      <c r="U16" s="706"/>
      <c r="V16" s="705"/>
      <c r="W16" s="706"/>
      <c r="X16" s="1355"/>
      <c r="Y16" s="3717"/>
      <c r="Z16" s="1356"/>
      <c r="AA16" s="1353">
        <v>1</v>
      </c>
      <c r="AB16" s="1353">
        <v>1</v>
      </c>
      <c r="AC16" s="1353">
        <v>1</v>
      </c>
    </row>
    <row r="17" spans="1:29" ht="85.5">
      <c r="A17" s="379"/>
      <c r="B17" s="402" t="s">
        <v>1256</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4"/>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4"/>
      <c r="Q18" s="1352"/>
      <c r="R18" s="705"/>
      <c r="S18" s="706"/>
      <c r="T18" s="705"/>
      <c r="U18" s="706"/>
      <c r="V18" s="705"/>
      <c r="W18" s="706"/>
      <c r="X18" s="1355"/>
      <c r="Y18" s="3717"/>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4"/>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4"/>
      <c r="Q20" s="1352"/>
      <c r="R20" s="705"/>
      <c r="S20" s="706"/>
      <c r="T20" s="705"/>
      <c r="U20" s="706"/>
      <c r="V20" s="705"/>
      <c r="W20" s="706"/>
      <c r="X20" s="1355"/>
      <c r="Y20" s="3717"/>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4"/>
      <c r="Q22" s="1352"/>
      <c r="R22" s="705"/>
      <c r="S22" s="706"/>
      <c r="T22" s="705"/>
      <c r="U22" s="706"/>
      <c r="V22" s="705"/>
      <c r="W22" s="706"/>
      <c r="X22" s="1355"/>
      <c r="Y22" s="3717"/>
      <c r="Z22" s="1356"/>
      <c r="AA22" s="1353">
        <v>1</v>
      </c>
      <c r="AB22" s="1353">
        <v>1</v>
      </c>
      <c r="AC22" s="1353">
        <v>1</v>
      </c>
    </row>
    <row r="23" spans="1:29" ht="57">
      <c r="A23" s="379"/>
      <c r="B23" s="402" t="s">
        <v>1258</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4"/>
      <c r="Q23" s="1352" t="str">
        <f>B23</f>
        <v>自然及人文环境</v>
      </c>
      <c r="R23" s="705" t="s">
        <v>14</v>
      </c>
      <c r="S23" s="706">
        <f>F23</f>
        <v>100</v>
      </c>
      <c r="T23" s="705" t="s">
        <v>14</v>
      </c>
      <c r="U23" s="706">
        <f>H23</f>
        <v>100</v>
      </c>
      <c r="V23" s="705" t="s">
        <v>14</v>
      </c>
      <c r="W23" s="706">
        <f>J23</f>
        <v>100</v>
      </c>
      <c r="X23" s="1355"/>
      <c r="Y23" s="371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4"/>
      <c r="Q24" s="1352"/>
      <c r="R24" s="705"/>
      <c r="S24" s="706"/>
      <c r="T24" s="705"/>
      <c r="U24" s="706"/>
      <c r="V24" s="705"/>
      <c r="W24" s="706"/>
      <c r="X24" s="1355"/>
      <c r="Y24" s="3717"/>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4"/>
      <c r="Q25" s="1352" t="str">
        <f t="shared" ref="Q25:Q46" si="11">B25</f>
        <v>临街状况</v>
      </c>
      <c r="R25" s="705" t="s">
        <v>14</v>
      </c>
      <c r="S25" s="706">
        <f>F25</f>
        <v>100</v>
      </c>
      <c r="T25" s="705" t="s">
        <v>14</v>
      </c>
      <c r="U25" s="706">
        <f>H25</f>
        <v>100</v>
      </c>
      <c r="V25" s="705" t="s">
        <v>14</v>
      </c>
      <c r="W25" s="706">
        <f>J25</f>
        <v>100</v>
      </c>
      <c r="X25" s="1355"/>
      <c r="Y25" s="3717"/>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4"/>
      <c r="Q26" s="1352" t="str">
        <f t="shared" si="11"/>
        <v>平面位置/可视性</v>
      </c>
      <c r="R26" s="705" t="s">
        <v>14</v>
      </c>
      <c r="S26" s="706">
        <f>F26</f>
        <v>100</v>
      </c>
      <c r="T26" s="705" t="s">
        <v>14</v>
      </c>
      <c r="U26" s="706">
        <f>H26</f>
        <v>100</v>
      </c>
      <c r="V26" s="705" t="s">
        <v>14</v>
      </c>
      <c r="W26" s="706">
        <f>J26</f>
        <v>100</v>
      </c>
      <c r="X26" s="1355"/>
      <c r="Y26" s="3717"/>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4"/>
      <c r="Q27" s="1343" t="str">
        <f t="shared" si="11"/>
        <v>人流量</v>
      </c>
      <c r="R27" s="701" t="s">
        <v>14</v>
      </c>
      <c r="S27" s="702">
        <f>F27</f>
        <v>100</v>
      </c>
      <c r="T27" s="701" t="s">
        <v>14</v>
      </c>
      <c r="U27" s="702">
        <f>H27</f>
        <v>100</v>
      </c>
      <c r="V27" s="701" t="s">
        <v>14</v>
      </c>
      <c r="W27" s="702">
        <f>J27</f>
        <v>100</v>
      </c>
      <c r="X27" s="703"/>
      <c r="Y27" s="3717"/>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4"/>
      <c r="Q29" s="1352">
        <f t="shared" si="11"/>
        <v>111</v>
      </c>
      <c r="R29" s="705" t="s">
        <v>14</v>
      </c>
      <c r="S29" s="706">
        <f t="shared" si="12"/>
        <v>100</v>
      </c>
      <c r="T29" s="705" t="s">
        <v>14</v>
      </c>
      <c r="U29" s="706">
        <f t="shared" si="13"/>
        <v>100</v>
      </c>
      <c r="V29" s="705" t="s">
        <v>14</v>
      </c>
      <c r="W29" s="706">
        <f t="shared" si="14"/>
        <v>100</v>
      </c>
      <c r="X29" s="1355"/>
      <c r="Y29" s="371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4"/>
      <c r="Q30" s="1352">
        <f t="shared" si="11"/>
        <v>111</v>
      </c>
      <c r="R30" s="705" t="s">
        <v>14</v>
      </c>
      <c r="S30" s="706">
        <f t="shared" si="12"/>
        <v>100</v>
      </c>
      <c r="T30" s="705" t="s">
        <v>14</v>
      </c>
      <c r="U30" s="706">
        <f t="shared" si="13"/>
        <v>100</v>
      </c>
      <c r="V30" s="705" t="s">
        <v>14</v>
      </c>
      <c r="W30" s="706">
        <f t="shared" si="14"/>
        <v>100</v>
      </c>
      <c r="X30" s="1355"/>
      <c r="Y30" s="371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4"/>
      <c r="Q31" s="1352">
        <f t="shared" si="11"/>
        <v>111</v>
      </c>
      <c r="R31" s="705" t="s">
        <v>14</v>
      </c>
      <c r="S31" s="706">
        <f t="shared" si="12"/>
        <v>100</v>
      </c>
      <c r="T31" s="705" t="s">
        <v>14</v>
      </c>
      <c r="U31" s="706">
        <f t="shared" si="13"/>
        <v>100</v>
      </c>
      <c r="V31" s="705" t="s">
        <v>14</v>
      </c>
      <c r="W31" s="706">
        <f t="shared" si="14"/>
        <v>100</v>
      </c>
      <c r="X31" s="1355"/>
      <c r="Y31" s="3717"/>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8" t="s">
        <v>1693</v>
      </c>
      <c r="Q32" s="1352" t="str">
        <f t="shared" si="11"/>
        <v>商业类型</v>
      </c>
      <c r="R32" s="705" t="s">
        <v>14</v>
      </c>
      <c r="S32" s="706">
        <f t="shared" si="12"/>
        <v>100</v>
      </c>
      <c r="T32" s="705" t="s">
        <v>14</v>
      </c>
      <c r="U32" s="706">
        <f t="shared" si="13"/>
        <v>100</v>
      </c>
      <c r="V32" s="705" t="s">
        <v>14</v>
      </c>
      <c r="W32" s="706">
        <f t="shared" si="14"/>
        <v>100</v>
      </c>
      <c r="X32" s="1355"/>
      <c r="Y32" s="3721"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9"/>
      <c r="Q33" s="707" t="str">
        <f t="shared" si="11"/>
        <v>项目建筑规模</v>
      </c>
      <c r="R33" s="708" t="s">
        <v>14</v>
      </c>
      <c r="S33" s="709" t="e">
        <f t="shared" si="12"/>
        <v>#N/A</v>
      </c>
      <c r="T33" s="708" t="s">
        <v>14</v>
      </c>
      <c r="U33" s="709" t="e">
        <f t="shared" si="13"/>
        <v>#N/A</v>
      </c>
      <c r="V33" s="708" t="s">
        <v>14</v>
      </c>
      <c r="W33" s="709" t="e">
        <f t="shared" si="14"/>
        <v>#N/A</v>
      </c>
      <c r="X33" s="710"/>
      <c r="Y33" s="3721"/>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9"/>
      <c r="Q34" s="1352" t="str">
        <f t="shared" si="11"/>
        <v>建筑结构</v>
      </c>
      <c r="R34" s="705" t="s">
        <v>14</v>
      </c>
      <c r="S34" s="706">
        <f t="shared" si="12"/>
        <v>100</v>
      </c>
      <c r="T34" s="705" t="s">
        <v>14</v>
      </c>
      <c r="U34" s="706">
        <f t="shared" si="13"/>
        <v>100</v>
      </c>
      <c r="V34" s="705" t="s">
        <v>14</v>
      </c>
      <c r="W34" s="706">
        <f t="shared" si="14"/>
        <v>100</v>
      </c>
      <c r="X34" s="1355"/>
      <c r="Y34" s="3721"/>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9"/>
      <c r="Q35" s="1352" t="str">
        <f t="shared" si="11"/>
        <v>公共部分装修</v>
      </c>
      <c r="R35" s="705" t="s">
        <v>14</v>
      </c>
      <c r="S35" s="706">
        <f t="shared" si="12"/>
        <v>100</v>
      </c>
      <c r="T35" s="705" t="s">
        <v>14</v>
      </c>
      <c r="U35" s="706">
        <f t="shared" si="13"/>
        <v>100</v>
      </c>
      <c r="V35" s="705" t="s">
        <v>14</v>
      </c>
      <c r="W35" s="706">
        <f t="shared" si="14"/>
        <v>100</v>
      </c>
      <c r="X35" s="1355"/>
      <c r="Y35" s="3721"/>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9"/>
      <c r="Q36" s="1352" t="str">
        <f t="shared" si="11"/>
        <v>成新度</v>
      </c>
      <c r="R36" s="705" t="s">
        <v>14</v>
      </c>
      <c r="S36" s="706" t="e">
        <f t="shared" si="12"/>
        <v>#N/A</v>
      </c>
      <c r="T36" s="705" t="s">
        <v>14</v>
      </c>
      <c r="U36" s="706" t="e">
        <f t="shared" si="13"/>
        <v>#N/A</v>
      </c>
      <c r="V36" s="705" t="s">
        <v>14</v>
      </c>
      <c r="W36" s="706" t="e">
        <f t="shared" si="14"/>
        <v>#N/A</v>
      </c>
      <c r="X36" s="1355"/>
      <c r="Y36" s="3721"/>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9"/>
      <c r="Q37" s="1343" t="str">
        <f t="shared" si="11"/>
        <v>市政基础设施</v>
      </c>
      <c r="R37" s="701" t="s">
        <v>14</v>
      </c>
      <c r="S37" s="702">
        <f t="shared" si="12"/>
        <v>100</v>
      </c>
      <c r="T37" s="701" t="s">
        <v>14</v>
      </c>
      <c r="U37" s="702">
        <f t="shared" si="13"/>
        <v>100</v>
      </c>
      <c r="V37" s="701" t="s">
        <v>14</v>
      </c>
      <c r="W37" s="702">
        <f t="shared" si="14"/>
        <v>100</v>
      </c>
      <c r="X37" s="703"/>
      <c r="Y37" s="3721"/>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9" t="s">
        <v>1693</v>
      </c>
      <c r="Q38" s="1352" t="str">
        <f t="shared" si="11"/>
        <v>业态</v>
      </c>
      <c r="R38" s="705" t="s">
        <v>14</v>
      </c>
      <c r="S38" s="706">
        <f t="shared" si="12"/>
        <v>100</v>
      </c>
      <c r="T38" s="705" t="s">
        <v>14</v>
      </c>
      <c r="U38" s="706">
        <f t="shared" si="13"/>
        <v>100</v>
      </c>
      <c r="V38" s="705" t="s">
        <v>14</v>
      </c>
      <c r="W38" s="706">
        <f t="shared" si="14"/>
        <v>100</v>
      </c>
      <c r="X38" s="1355"/>
      <c r="Y38" s="3721"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9"/>
      <c r="Q39" s="1352" t="str">
        <f t="shared" si="11"/>
        <v>层高</v>
      </c>
      <c r="R39" s="705" t="s">
        <v>14</v>
      </c>
      <c r="S39" s="706">
        <f t="shared" si="12"/>
        <v>100</v>
      </c>
      <c r="T39" s="705" t="s">
        <v>14</v>
      </c>
      <c r="U39" s="706">
        <f t="shared" si="13"/>
        <v>100</v>
      </c>
      <c r="V39" s="705" t="s">
        <v>14</v>
      </c>
      <c r="W39" s="706">
        <f t="shared" si="14"/>
        <v>100</v>
      </c>
      <c r="X39" s="1355"/>
      <c r="Y39" s="3721"/>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9"/>
      <c r="Q40" s="1352" t="str">
        <f t="shared" si="11"/>
        <v>单套建筑面积</v>
      </c>
      <c r="R40" s="705" t="s">
        <v>14</v>
      </c>
      <c r="S40" s="706">
        <f t="shared" si="12"/>
        <v>100</v>
      </c>
      <c r="T40" s="705" t="s">
        <v>14</v>
      </c>
      <c r="U40" s="706">
        <f t="shared" si="13"/>
        <v>100</v>
      </c>
      <c r="V40" s="705" t="s">
        <v>14</v>
      </c>
      <c r="W40" s="706">
        <f t="shared" si="14"/>
        <v>100</v>
      </c>
      <c r="X40" s="1355"/>
      <c r="Y40" s="3721"/>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9"/>
      <c r="Q41" s="707" t="str">
        <f t="shared" si="11"/>
        <v>进深比</v>
      </c>
      <c r="R41" s="708" t="s">
        <v>14</v>
      </c>
      <c r="S41" s="709">
        <f t="shared" si="12"/>
        <v>100</v>
      </c>
      <c r="T41" s="708" t="s">
        <v>14</v>
      </c>
      <c r="U41" s="709">
        <f t="shared" si="13"/>
        <v>100</v>
      </c>
      <c r="V41" s="708" t="s">
        <v>14</v>
      </c>
      <c r="W41" s="709">
        <f t="shared" si="14"/>
        <v>100</v>
      </c>
      <c r="X41" s="710"/>
      <c r="Y41" s="3721"/>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9"/>
      <c r="Q42" s="1352" t="str">
        <f t="shared" si="11"/>
        <v>内部装修</v>
      </c>
      <c r="R42" s="705" t="s">
        <v>14</v>
      </c>
      <c r="S42" s="706">
        <f t="shared" si="12"/>
        <v>100</v>
      </c>
      <c r="T42" s="705" t="s">
        <v>14</v>
      </c>
      <c r="U42" s="706">
        <f t="shared" si="13"/>
        <v>100</v>
      </c>
      <c r="V42" s="705" t="s">
        <v>14</v>
      </c>
      <c r="W42" s="706">
        <f t="shared" si="14"/>
        <v>100</v>
      </c>
      <c r="X42" s="1355"/>
      <c r="Y42" s="3721"/>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9"/>
      <c r="Q43" s="1352" t="str">
        <f t="shared" si="11"/>
        <v>内部装修维护情况</v>
      </c>
      <c r="R43" s="705" t="s">
        <v>14</v>
      </c>
      <c r="S43" s="706">
        <f t="shared" si="12"/>
        <v>100</v>
      </c>
      <c r="T43" s="705" t="s">
        <v>14</v>
      </c>
      <c r="U43" s="706">
        <f t="shared" si="13"/>
        <v>100</v>
      </c>
      <c r="V43" s="705" t="s">
        <v>14</v>
      </c>
      <c r="W43" s="706">
        <f t="shared" si="14"/>
        <v>100</v>
      </c>
      <c r="X43" s="1355"/>
      <c r="Y43" s="372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9"/>
      <c r="Q44" s="1343">
        <f t="shared" si="11"/>
        <v>111</v>
      </c>
      <c r="R44" s="701" t="s">
        <v>14</v>
      </c>
      <c r="S44" s="702">
        <f t="shared" si="12"/>
        <v>100</v>
      </c>
      <c r="T44" s="701" t="s">
        <v>14</v>
      </c>
      <c r="U44" s="702">
        <f t="shared" si="13"/>
        <v>100</v>
      </c>
      <c r="V44" s="701" t="s">
        <v>14</v>
      </c>
      <c r="W44" s="702">
        <f t="shared" si="14"/>
        <v>100</v>
      </c>
      <c r="X44" s="703"/>
      <c r="Y44" s="372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9"/>
      <c r="Q45" s="1352">
        <f t="shared" si="11"/>
        <v>111</v>
      </c>
      <c r="R45" s="705" t="s">
        <v>14</v>
      </c>
      <c r="S45" s="706">
        <f t="shared" si="12"/>
        <v>100</v>
      </c>
      <c r="T45" s="705" t="s">
        <v>14</v>
      </c>
      <c r="U45" s="706">
        <f t="shared" si="13"/>
        <v>100</v>
      </c>
      <c r="V45" s="705" t="s">
        <v>14</v>
      </c>
      <c r="W45" s="706">
        <f t="shared" si="14"/>
        <v>100</v>
      </c>
      <c r="X45" s="1355"/>
      <c r="Y45" s="372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3"/>
      <c r="M47" s="2724"/>
      <c r="N47" s="2715"/>
      <c r="O47" s="2724"/>
      <c r="P47" s="3714" t="str">
        <f>A47</f>
        <v>成交单价（元/平方米）</v>
      </c>
      <c r="Q47" s="3714"/>
      <c r="R47" s="3745">
        <f>E47</f>
        <v>0</v>
      </c>
      <c r="S47" s="3745"/>
      <c r="T47" s="3745">
        <f>G47</f>
        <v>0</v>
      </c>
      <c r="U47" s="3745"/>
      <c r="V47" s="3745">
        <f>I47</f>
        <v>0</v>
      </c>
      <c r="W47" s="3745"/>
      <c r="X47" s="690"/>
      <c r="Y47" s="712"/>
      <c r="Z47" s="690"/>
      <c r="AA47" s="690"/>
      <c r="AB47" s="690"/>
      <c r="AC47" s="690"/>
    </row>
    <row r="48" spans="1:29" ht="15.75" thickBot="1">
      <c r="A48" s="437" t="s">
        <v>1790</v>
      </c>
      <c r="B48" s="438"/>
      <c r="C48" s="1160" t="e">
        <f>R49</f>
        <v>#DIV/0!</v>
      </c>
      <c r="D48" s="2317" t="s">
        <v>2134</v>
      </c>
      <c r="E48" s="1161" t="e">
        <f>R48</f>
        <v>#DIV/0!</v>
      </c>
      <c r="F48" s="2318"/>
      <c r="G48" s="1160" t="e">
        <f>T48</f>
        <v>#DIV/0!</v>
      </c>
      <c r="H48" s="2318"/>
      <c r="I48" s="1161" t="e">
        <f>V48</f>
        <v>#DIV/0!</v>
      </c>
      <c r="J48" s="2318"/>
      <c r="K48" s="2320">
        <f>F48+H48+J48</f>
        <v>0</v>
      </c>
      <c r="L48" s="2723"/>
      <c r="M48" s="2724"/>
      <c r="N48" s="2715"/>
      <c r="O48" s="272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3"/>
      <c r="M49" s="2724"/>
      <c r="N49" s="2715"/>
      <c r="O49" s="2724"/>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1795</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1676</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1713</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1678</v>
      </c>
      <c r="B61" s="459"/>
      <c r="C61" s="471" t="s">
        <v>1773</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1716</v>
      </c>
      <c r="B63" s="477" t="s">
        <v>1682</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1685</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1687</v>
      </c>
      <c r="B76" s="477" t="s">
        <v>1717</v>
      </c>
      <c r="C76" s="522" t="s">
        <v>1718</v>
      </c>
      <c r="D76" s="522" t="s">
        <v>1719</v>
      </c>
      <c r="E76" s="522" t="s">
        <v>1720</v>
      </c>
      <c r="F76" s="522" t="s">
        <v>1721</v>
      </c>
      <c r="G76" s="522" t="s">
        <v>1722</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1723</v>
      </c>
      <c r="C78" s="527" t="s">
        <v>1718</v>
      </c>
      <c r="D78" s="527" t="s">
        <v>1719</v>
      </c>
      <c r="E78" s="527" t="s">
        <v>1720</v>
      </c>
      <c r="F78" s="527" t="s">
        <v>1721</v>
      </c>
      <c r="G78" s="527" t="s">
        <v>1722</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1724</v>
      </c>
      <c r="C80" s="527" t="s">
        <v>1718</v>
      </c>
      <c r="D80" s="527" t="s">
        <v>1719</v>
      </c>
      <c r="E80" s="527" t="s">
        <v>1720</v>
      </c>
      <c r="F80" s="527" t="s">
        <v>1721</v>
      </c>
      <c r="G80" s="527" t="s">
        <v>1722</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1776</v>
      </c>
      <c r="C82" s="608" t="s">
        <v>1796</v>
      </c>
      <c r="D82" s="608" t="s">
        <v>1797</v>
      </c>
      <c r="E82" s="608" t="s">
        <v>1798</v>
      </c>
      <c r="F82" s="608" t="s">
        <v>1799</v>
      </c>
      <c r="G82" s="608" t="s">
        <v>1800</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1730</v>
      </c>
      <c r="C84" s="527" t="s">
        <v>1718</v>
      </c>
      <c r="D84" s="527" t="s">
        <v>1719</v>
      </c>
      <c r="E84" s="527" t="s">
        <v>1720</v>
      </c>
      <c r="F84" s="527" t="s">
        <v>1721</v>
      </c>
      <c r="G84" s="527" t="s">
        <v>1722</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1801</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1691</v>
      </c>
      <c r="B100" s="477" t="s">
        <v>1802</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1735</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1737</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1739</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1803</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1804</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1805</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1806</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1741</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213" priority="21" stopIfTrue="1" operator="containsText" text="超过">
      <formula>NOT(ISERROR(SEARCH("超过",F52)))</formula>
    </cfRule>
  </conditionalFormatting>
  <conditionalFormatting sqref="H54">
    <cfRule type="containsText" dxfId="212" priority="19" stopIfTrue="1" operator="containsText" text="超过">
      <formula>NOT(ISERROR(SEARCH("超过",H54)))</formula>
    </cfRule>
  </conditionalFormatting>
  <conditionalFormatting sqref="F54">
    <cfRule type="containsText" dxfId="211" priority="18" stopIfTrue="1" operator="containsText" text="超过">
      <formula>NOT(ISERROR(SEARCH("超过",F54)))</formula>
    </cfRule>
  </conditionalFormatting>
  <conditionalFormatting sqref="F53 H53">
    <cfRule type="containsText" dxfId="210" priority="17" stopIfTrue="1" operator="containsText" text="超过">
      <formula>NOT(ISERROR(SEARCH("超过",F53)))</formula>
    </cfRule>
  </conditionalFormatting>
  <conditionalFormatting sqref="E52">
    <cfRule type="expression" dxfId="209" priority="16" stopIfTrue="1">
      <formula>$F$52="超过30%"</formula>
    </cfRule>
  </conditionalFormatting>
  <conditionalFormatting sqref="E53">
    <cfRule type="expression" dxfId="208" priority="15" stopIfTrue="1">
      <formula>$F$53="超过20%"</formula>
    </cfRule>
  </conditionalFormatting>
  <conditionalFormatting sqref="E54">
    <cfRule type="expression" dxfId="207" priority="14" stopIfTrue="1">
      <formula>$F$54="超过30%"</formula>
    </cfRule>
  </conditionalFormatting>
  <conditionalFormatting sqref="G54">
    <cfRule type="expression" dxfId="206" priority="13" stopIfTrue="1">
      <formula>$H$54="超过30%"</formula>
    </cfRule>
  </conditionalFormatting>
  <conditionalFormatting sqref="G52">
    <cfRule type="expression" dxfId="205" priority="12" stopIfTrue="1">
      <formula>$H$52="超过30%"</formula>
    </cfRule>
  </conditionalFormatting>
  <conditionalFormatting sqref="G53">
    <cfRule type="expression" dxfId="204" priority="11" stopIfTrue="1">
      <formula>$H$53="超过20%"</formula>
    </cfRule>
  </conditionalFormatting>
  <conditionalFormatting sqref="J52">
    <cfRule type="containsText" dxfId="203" priority="10" stopIfTrue="1" operator="containsText" text="超过">
      <formula>NOT(ISERROR(SEARCH("超过",J52)))</formula>
    </cfRule>
  </conditionalFormatting>
  <conditionalFormatting sqref="J54">
    <cfRule type="containsText" dxfId="202" priority="9" stopIfTrue="1" operator="containsText" text="超过">
      <formula>NOT(ISERROR(SEARCH("超过",J54)))</formula>
    </cfRule>
  </conditionalFormatting>
  <conditionalFormatting sqref="J53">
    <cfRule type="containsText" dxfId="201" priority="8" stopIfTrue="1" operator="containsText" text="超过">
      <formula>NOT(ISERROR(SEARCH("超过",J53)))</formula>
    </cfRule>
  </conditionalFormatting>
  <conditionalFormatting sqref="I52">
    <cfRule type="expression" dxfId="200" priority="7" stopIfTrue="1">
      <formula>$J$52="超过30%"</formula>
    </cfRule>
  </conditionalFormatting>
  <conditionalFormatting sqref="I53">
    <cfRule type="expression" dxfId="199" priority="6" stopIfTrue="1">
      <formula>$J$53="超过20%"</formula>
    </cfRule>
  </conditionalFormatting>
  <conditionalFormatting sqref="I54">
    <cfRule type="expression" dxfId="198" priority="5" stopIfTrue="1">
      <formula>$J$54="超过30%"</formula>
    </cfRule>
  </conditionalFormatting>
  <conditionalFormatting sqref="F48">
    <cfRule type="expression" dxfId="197" priority="4">
      <formula>$D$48="简单平均"</formula>
    </cfRule>
  </conditionalFormatting>
  <conditionalFormatting sqref="H48">
    <cfRule type="expression" dxfId="196" priority="3">
      <formula>$D$48="简单平均"</formula>
    </cfRule>
  </conditionalFormatting>
  <conditionalFormatting sqref="J48">
    <cfRule type="expression" dxfId="195" priority="2">
      <formula>$D$48="简单平均"</formula>
    </cfRule>
  </conditionalFormatting>
  <conditionalFormatting sqref="F7:F46 H7:H46 J7:J46">
    <cfRule type="cellIs" dxfId="19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zoomScale="80" zoomScaleNormal="70" zoomScaleSheetLayoutView="80" workbookViewId="0">
      <selection activeCell="C41" sqref="C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v>413</v>
      </c>
      <c r="E1" s="3432" t="s">
        <v>3397</v>
      </c>
      <c r="F1" s="1879" t="s">
        <v>3398</v>
      </c>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f>IF(E1="项目模式",IF(C2="——",ROUND(C50*D3/10000,0),ROUND(C50*D3/10000,0)-D2),IF(E1="单套模式",IF(C2="——",ROUND(C50*D3/10000,4),ROUND(C50*D3/10000,4)-D2)))</f>
        <v>2.86E-2</v>
      </c>
      <c r="C2" s="1881" t="s">
        <v>43</v>
      </c>
      <c r="D2" s="1115" t="e">
        <f ca="1">IF(E1="项目模式",SUMIF(INDIRECT("'"&amp;F2&amp;"'"&amp;"!A:A"),"承租人权益价值",INDIRECT("'"&amp;F2&amp;"'"&amp;"!c:c")),SUMIF(INDIRECT("'"&amp;F2&amp;"'"&amp;"!A:A"),"承租人权益价值（单套）",INDIRECT("'"&amp;F2&amp;"'"&amp;"!c:c")))</f>
        <v>#REF!</v>
      </c>
      <c r="E2" s="1882" t="s">
        <v>1460</v>
      </c>
      <c r="F2" s="1883" t="s">
        <v>3395</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684</v>
      </c>
      <c r="B3" s="558">
        <f>IF(C2="——",C50,ROUND(B2*10000/D3,0))</f>
        <v>4.9000000000000004</v>
      </c>
      <c r="C3" s="354" t="s">
        <v>1765</v>
      </c>
      <c r="D3" s="353">
        <f>IF(D1="",'数据-汇总表'!E3,SUMIF('数据-汇总表'!$C19:$C33,D1,'数据-汇总表'!$E19:$E33))</f>
        <v>58.44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1663</v>
      </c>
      <c r="B4" s="356"/>
      <c r="C4" s="3729" t="s">
        <v>1767</v>
      </c>
      <c r="D4" s="3730"/>
      <c r="E4" s="3731" t="s">
        <v>1768</v>
      </c>
      <c r="F4" s="3732"/>
      <c r="G4" s="3729" t="s">
        <v>1769</v>
      </c>
      <c r="H4" s="3730"/>
      <c r="I4" s="3729" t="s">
        <v>1770</v>
      </c>
      <c r="J4" s="3730"/>
      <c r="K4" s="559" t="s">
        <v>1771</v>
      </c>
      <c r="L4" s="2714"/>
      <c r="M4" s="2715"/>
      <c r="N4" s="2715"/>
      <c r="O4" s="2715"/>
      <c r="P4" s="3768" t="s">
        <v>1669</v>
      </c>
      <c r="Q4" s="3769"/>
      <c r="R4" s="3762" t="s">
        <v>1768</v>
      </c>
      <c r="S4" s="3763"/>
      <c r="T4" s="3762" t="s">
        <v>1769</v>
      </c>
      <c r="U4" s="3763"/>
      <c r="V4" s="3761" t="s">
        <v>1770</v>
      </c>
      <c r="W4" s="3761"/>
      <c r="X4" s="3455"/>
      <c r="Y4" s="3762" t="s">
        <v>1669</v>
      </c>
      <c r="Z4" s="3763"/>
      <c r="AA4" s="3764" t="s">
        <v>1768</v>
      </c>
      <c r="AB4" s="3764" t="s">
        <v>1769</v>
      </c>
      <c r="AC4" s="3765" t="s">
        <v>1770</v>
      </c>
    </row>
    <row r="5" spans="1:29" ht="13.9" customHeight="1">
      <c r="A5" s="358"/>
      <c r="B5" s="359"/>
      <c r="C5" s="3772" t="s">
        <v>3399</v>
      </c>
      <c r="D5" s="3749"/>
      <c r="E5" s="3772" t="s">
        <v>3399</v>
      </c>
      <c r="F5" s="3749"/>
      <c r="G5" s="3772" t="s">
        <v>3399</v>
      </c>
      <c r="H5" s="3749"/>
      <c r="I5" s="3772" t="s">
        <v>3399</v>
      </c>
      <c r="J5" s="3749"/>
      <c r="K5" s="559"/>
      <c r="L5" s="2714"/>
      <c r="M5" s="2715"/>
      <c r="N5" s="2715"/>
      <c r="O5" s="2715"/>
      <c r="P5" s="3770"/>
      <c r="Q5" s="3736"/>
      <c r="R5" s="3741"/>
      <c r="S5" s="3742"/>
      <c r="T5" s="3741"/>
      <c r="U5" s="3742"/>
      <c r="V5" s="3745"/>
      <c r="W5" s="3745"/>
      <c r="X5" s="3453"/>
      <c r="Y5" s="3741"/>
      <c r="Z5" s="3742"/>
      <c r="AA5" s="3727"/>
      <c r="AB5" s="3727"/>
      <c r="AC5" s="3766"/>
    </row>
    <row r="6" spans="1:29" ht="15.75" thickBot="1">
      <c r="A6" s="360"/>
      <c r="B6" s="361"/>
      <c r="C6" s="3746" t="s">
        <v>1674</v>
      </c>
      <c r="D6" s="3747"/>
      <c r="E6" s="3753" t="s">
        <v>1674</v>
      </c>
      <c r="F6" s="3754"/>
      <c r="G6" s="3746" t="s">
        <v>1674</v>
      </c>
      <c r="H6" s="3747"/>
      <c r="I6" s="3746" t="s">
        <v>1674</v>
      </c>
      <c r="J6" s="3747"/>
      <c r="K6" s="559" t="s">
        <v>1675</v>
      </c>
      <c r="L6" s="2714"/>
      <c r="M6" s="2715"/>
      <c r="N6" s="2715"/>
      <c r="O6" s="2715"/>
      <c r="P6" s="3771"/>
      <c r="Q6" s="3738"/>
      <c r="R6" s="3741"/>
      <c r="S6" s="3742"/>
      <c r="T6" s="3743"/>
      <c r="U6" s="3744"/>
      <c r="V6" s="3745"/>
      <c r="W6" s="3745"/>
      <c r="X6" s="3453"/>
      <c r="Y6" s="3743"/>
      <c r="Z6" s="3744"/>
      <c r="AA6" s="3728"/>
      <c r="AB6" s="3728"/>
      <c r="AC6" s="3767"/>
    </row>
    <row r="7" spans="1:29" s="108" customFormat="1" ht="15.75" thickBot="1">
      <c r="A7" s="362" t="s">
        <v>1676</v>
      </c>
      <c r="B7" s="363"/>
      <c r="C7" s="364">
        <f>'数据-取费表'!B2</f>
        <v>45405</v>
      </c>
      <c r="D7" s="365">
        <v>100</v>
      </c>
      <c r="E7" s="366">
        <v>45387</v>
      </c>
      <c r="F7" s="367">
        <f>SUMIF(59:59,YEAR(E7)&amp;"-"&amp;MONTH(E7),60:60)</f>
        <v>100</v>
      </c>
      <c r="G7" s="366">
        <v>45377</v>
      </c>
      <c r="H7" s="365">
        <f>SUMIF(59:59,YEAR(G7)&amp;"-"&amp;MONTH(G7),60:60)</f>
        <v>100</v>
      </c>
      <c r="I7" s="366">
        <v>45390</v>
      </c>
      <c r="J7" s="365">
        <f>SUMIF(59:59,YEAR(I7)&amp;"-"&amp;MONTH(I7),60:60)</f>
        <v>100</v>
      </c>
      <c r="K7" s="560"/>
      <c r="L7" s="2716"/>
      <c r="M7" s="2717"/>
      <c r="N7" s="2717"/>
      <c r="O7" s="2717"/>
      <c r="P7" s="3760" t="s">
        <v>1677</v>
      </c>
      <c r="Q7" s="3752"/>
      <c r="R7" s="701" t="s">
        <v>14</v>
      </c>
      <c r="S7" s="702">
        <f t="shared" ref="S7:S15" si="0">F7</f>
        <v>100</v>
      </c>
      <c r="T7" s="701" t="s">
        <v>14</v>
      </c>
      <c r="U7" s="702">
        <f t="shared" ref="U7:U15" si="1">H7</f>
        <v>100</v>
      </c>
      <c r="V7" s="701" t="s">
        <v>14</v>
      </c>
      <c r="W7" s="702">
        <f t="shared" ref="W7:W15" si="2">J7</f>
        <v>100</v>
      </c>
      <c r="X7" s="703"/>
      <c r="Y7" s="3750" t="s">
        <v>1677</v>
      </c>
      <c r="Z7" s="3751"/>
      <c r="AA7" s="704">
        <f>D7/F7</f>
        <v>1</v>
      </c>
      <c r="AB7" s="704">
        <f>D7/H7</f>
        <v>1</v>
      </c>
      <c r="AC7" s="1959">
        <f>D7/J7</f>
        <v>1</v>
      </c>
    </row>
    <row r="8" spans="1:29" s="108" customFormat="1" ht="15.75" thickBot="1">
      <c r="A8" s="362" t="s">
        <v>1678</v>
      </c>
      <c r="B8" s="363"/>
      <c r="C8" s="368" t="s">
        <v>3400</v>
      </c>
      <c r="D8" s="365">
        <v>100</v>
      </c>
      <c r="E8" s="368" t="s">
        <v>3401</v>
      </c>
      <c r="F8" s="367">
        <f>SUMIF(62:62,E8,63:63)-SUMIF(62:62,C8,63:63)+100</f>
        <v>101</v>
      </c>
      <c r="G8" s="368" t="s">
        <v>3401</v>
      </c>
      <c r="H8" s="365">
        <f>SUMIF(62:62,G8,63:63)-SUMIF(62:62,C8,63:63)+100</f>
        <v>101</v>
      </c>
      <c r="I8" s="368" t="s">
        <v>3401</v>
      </c>
      <c r="J8" s="365">
        <f>SUMIF(62:62,I8,63:63)-SUMIF(62:62,C8,63:63)+100</f>
        <v>101</v>
      </c>
      <c r="K8" s="560"/>
      <c r="L8" s="2716"/>
      <c r="M8" s="2717"/>
      <c r="N8" s="2717"/>
      <c r="O8" s="2717"/>
      <c r="P8" s="3760" t="s">
        <v>1680</v>
      </c>
      <c r="Q8" s="3751"/>
      <c r="R8" s="701" t="s">
        <v>14</v>
      </c>
      <c r="S8" s="702">
        <f t="shared" si="0"/>
        <v>101</v>
      </c>
      <c r="T8" s="701" t="s">
        <v>14</v>
      </c>
      <c r="U8" s="702">
        <f t="shared" si="1"/>
        <v>101</v>
      </c>
      <c r="V8" s="701" t="s">
        <v>14</v>
      </c>
      <c r="W8" s="702">
        <f t="shared" si="2"/>
        <v>101</v>
      </c>
      <c r="X8" s="703"/>
      <c r="Y8" s="3750" t="s">
        <v>1680</v>
      </c>
      <c r="Z8" s="3751"/>
      <c r="AA8" s="704">
        <f t="shared" ref="AA8:AA47" si="3">D8/F8</f>
        <v>0.99009900990099009</v>
      </c>
      <c r="AB8" s="704">
        <f t="shared" ref="AB8:AB47" si="4">D8/H8</f>
        <v>0.99009900990099009</v>
      </c>
      <c r="AC8" s="1959">
        <f t="shared" ref="AC8:AC47" si="5">D8/J8</f>
        <v>0.99009900990099009</v>
      </c>
    </row>
    <row r="9" spans="1:29" s="108" customFormat="1">
      <c r="A9" s="369" t="s">
        <v>1681</v>
      </c>
      <c r="B9" s="63" t="s">
        <v>1682</v>
      </c>
      <c r="C9" s="3462" t="s">
        <v>3403</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725" t="s">
        <v>1683</v>
      </c>
      <c r="Q9" s="3449" t="str">
        <f t="shared" ref="Q9:Q15" si="6">B9</f>
        <v>用途</v>
      </c>
      <c r="R9" s="701" t="s">
        <v>14</v>
      </c>
      <c r="S9" s="702">
        <f t="shared" si="0"/>
        <v>100</v>
      </c>
      <c r="T9" s="701" t="s">
        <v>14</v>
      </c>
      <c r="U9" s="702">
        <f t="shared" si="1"/>
        <v>100</v>
      </c>
      <c r="V9" s="701" t="s">
        <v>14</v>
      </c>
      <c r="W9" s="702">
        <f t="shared" si="2"/>
        <v>100</v>
      </c>
      <c r="X9" s="703"/>
      <c r="Y9" s="3589" t="s">
        <v>1684</v>
      </c>
      <c r="Z9" s="3448" t="str">
        <f t="shared" ref="Z9:Z15" si="7">Q9</f>
        <v>用途</v>
      </c>
      <c r="AA9" s="704">
        <f t="shared" si="3"/>
        <v>1</v>
      </c>
      <c r="AB9" s="704">
        <f t="shared" si="4"/>
        <v>1</v>
      </c>
      <c r="AC9" s="1959">
        <f t="shared" si="5"/>
        <v>1</v>
      </c>
    </row>
    <row r="10" spans="1:29" s="378" customFormat="1" ht="27">
      <c r="A10" s="374"/>
      <c r="B10" s="375" t="s">
        <v>1685</v>
      </c>
      <c r="C10" s="3433">
        <f>'数据-取费表'!F6</f>
        <v>36.72</v>
      </c>
      <c r="D10" s="127">
        <v>100</v>
      </c>
      <c r="E10" s="3433">
        <f>C10</f>
        <v>36.72</v>
      </c>
      <c r="F10" s="127">
        <f>SUMIF(66:66,E10,67:67)-SUMIF(66:66,C10,67:67)+100</f>
        <v>100</v>
      </c>
      <c r="G10" s="3434">
        <f>C10</f>
        <v>36.72</v>
      </c>
      <c r="H10" s="127">
        <f>SUMIF(66:66,G10,67:67)-SUMIF(66:66,C10,67:67)+100</f>
        <v>100</v>
      </c>
      <c r="I10" s="3433">
        <f>C10</f>
        <v>36.72</v>
      </c>
      <c r="J10" s="127">
        <f>SUMIF(66:66,I10,67:67)-SUMIF(66:66,C10,67:67)+100</f>
        <v>100</v>
      </c>
      <c r="K10" s="560"/>
      <c r="L10" s="2718"/>
      <c r="M10" s="2719"/>
      <c r="N10" s="2719"/>
      <c r="O10" s="2719"/>
      <c r="P10" s="3725"/>
      <c r="Q10" s="3449" t="str">
        <f t="shared" si="6"/>
        <v>土地使用年限（年）</v>
      </c>
      <c r="R10" s="701" t="s">
        <v>14</v>
      </c>
      <c r="S10" s="702">
        <f t="shared" si="0"/>
        <v>100</v>
      </c>
      <c r="T10" s="701" t="s">
        <v>14</v>
      </c>
      <c r="U10" s="702">
        <f t="shared" si="1"/>
        <v>100</v>
      </c>
      <c r="V10" s="701" t="s">
        <v>14</v>
      </c>
      <c r="W10" s="702">
        <f t="shared" si="2"/>
        <v>100</v>
      </c>
      <c r="X10" s="703"/>
      <c r="Y10" s="3589"/>
      <c r="Z10" s="3448" t="str">
        <f t="shared" si="7"/>
        <v>土地使用年限（年）</v>
      </c>
      <c r="AA10" s="704">
        <f t="shared" si="3"/>
        <v>1</v>
      </c>
      <c r="AB10" s="704">
        <f t="shared" si="4"/>
        <v>1</v>
      </c>
      <c r="AC10" s="1959">
        <f t="shared" si="5"/>
        <v>1</v>
      </c>
    </row>
    <row r="11" spans="1:29" ht="15.75" thickBot="1">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5"/>
      <c r="Q11" s="3449" t="str">
        <f t="shared" si="6"/>
        <v>容积率</v>
      </c>
      <c r="R11" s="701" t="s">
        <v>14</v>
      </c>
      <c r="S11" s="702">
        <f t="shared" si="0"/>
        <v>100</v>
      </c>
      <c r="T11" s="701" t="s">
        <v>14</v>
      </c>
      <c r="U11" s="702">
        <f t="shared" si="1"/>
        <v>100</v>
      </c>
      <c r="V11" s="701" t="s">
        <v>14</v>
      </c>
      <c r="W11" s="702">
        <f t="shared" si="2"/>
        <v>100</v>
      </c>
      <c r="X11" s="703"/>
      <c r="Y11" s="3589"/>
      <c r="Z11" s="3448"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25"/>
      <c r="Q12" s="3449">
        <f t="shared" si="6"/>
        <v>111</v>
      </c>
      <c r="R12" s="701" t="s">
        <v>14</v>
      </c>
      <c r="S12" s="702">
        <f t="shared" si="0"/>
        <v>100</v>
      </c>
      <c r="T12" s="701" t="s">
        <v>14</v>
      </c>
      <c r="U12" s="702">
        <f t="shared" si="1"/>
        <v>100</v>
      </c>
      <c r="V12" s="701" t="s">
        <v>14</v>
      </c>
      <c r="W12" s="702">
        <f t="shared" si="2"/>
        <v>100</v>
      </c>
      <c r="X12" s="703"/>
      <c r="Y12" s="3589"/>
      <c r="Z12" s="3448">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25"/>
      <c r="Q13" s="3449">
        <f t="shared" si="6"/>
        <v>111</v>
      </c>
      <c r="R13" s="701" t="s">
        <v>14</v>
      </c>
      <c r="S13" s="702">
        <f t="shared" si="0"/>
        <v>100</v>
      </c>
      <c r="T13" s="701" t="s">
        <v>14</v>
      </c>
      <c r="U13" s="702">
        <f t="shared" si="1"/>
        <v>100</v>
      </c>
      <c r="V13" s="701" t="s">
        <v>14</v>
      </c>
      <c r="W13" s="702">
        <f t="shared" si="2"/>
        <v>100</v>
      </c>
      <c r="X13" s="703"/>
      <c r="Y13" s="3589"/>
      <c r="Z13" s="3448">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25"/>
      <c r="Q14" s="3449">
        <f t="shared" si="6"/>
        <v>111</v>
      </c>
      <c r="R14" s="701" t="s">
        <v>14</v>
      </c>
      <c r="S14" s="702">
        <f t="shared" si="0"/>
        <v>100</v>
      </c>
      <c r="T14" s="701" t="s">
        <v>14</v>
      </c>
      <c r="U14" s="702">
        <f t="shared" si="1"/>
        <v>100</v>
      </c>
      <c r="V14" s="701" t="s">
        <v>14</v>
      </c>
      <c r="W14" s="702">
        <f t="shared" si="2"/>
        <v>100</v>
      </c>
      <c r="X14" s="703"/>
      <c r="Y14" s="3589"/>
      <c r="Z14" s="3448">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23" t="s">
        <v>1688</v>
      </c>
      <c r="Q15" s="3451" t="str">
        <f t="shared" si="6"/>
        <v>办公集聚程度</v>
      </c>
      <c r="R15" s="705" t="s">
        <v>14</v>
      </c>
      <c r="S15" s="706">
        <f t="shared" si="0"/>
        <v>100</v>
      </c>
      <c r="T15" s="705" t="s">
        <v>14</v>
      </c>
      <c r="U15" s="706">
        <f t="shared" si="1"/>
        <v>100</v>
      </c>
      <c r="V15" s="705" t="s">
        <v>14</v>
      </c>
      <c r="W15" s="706">
        <f t="shared" si="2"/>
        <v>100</v>
      </c>
      <c r="X15" s="3453"/>
      <c r="Y15" s="3716" t="s">
        <v>1688</v>
      </c>
      <c r="Z15" s="3454" t="str">
        <f t="shared" si="7"/>
        <v>办公集聚程度</v>
      </c>
      <c r="AA15" s="3452">
        <f t="shared" si="3"/>
        <v>1</v>
      </c>
      <c r="AB15" s="3452">
        <f t="shared" si="4"/>
        <v>1</v>
      </c>
      <c r="AC15" s="1962">
        <f t="shared" si="5"/>
        <v>1</v>
      </c>
    </row>
    <row r="16" spans="1:29" ht="15">
      <c r="A16" s="379"/>
      <c r="B16" s="578"/>
      <c r="C16" s="1904" t="s">
        <v>3451</v>
      </c>
      <c r="D16" s="399"/>
      <c r="E16" s="398" t="s">
        <v>3451</v>
      </c>
      <c r="F16" s="399"/>
      <c r="G16" s="1904" t="s">
        <v>3451</v>
      </c>
      <c r="H16" s="401"/>
      <c r="I16" s="398" t="s">
        <v>3451</v>
      </c>
      <c r="J16" s="399"/>
      <c r="K16" s="564"/>
      <c r="L16" s="2721"/>
      <c r="M16" s="2715"/>
      <c r="N16" s="2715"/>
      <c r="O16" s="2715"/>
      <c r="P16" s="3724"/>
      <c r="Q16" s="3451"/>
      <c r="R16" s="705"/>
      <c r="S16" s="706"/>
      <c r="T16" s="705"/>
      <c r="U16" s="706"/>
      <c r="V16" s="705"/>
      <c r="W16" s="706"/>
      <c r="X16" s="3453"/>
      <c r="Y16" s="3717"/>
      <c r="Z16" s="3454"/>
      <c r="AA16" s="3452">
        <v>1</v>
      </c>
      <c r="AB16" s="3452">
        <v>1</v>
      </c>
      <c r="AC16" s="1962">
        <v>1</v>
      </c>
    </row>
    <row r="17" spans="1:29" ht="71.25">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24"/>
      <c r="Q17" s="3451" t="str">
        <f>B17</f>
        <v>交通便捷度</v>
      </c>
      <c r="R17" s="705" t="s">
        <v>14</v>
      </c>
      <c r="S17" s="706">
        <f>F17</f>
        <v>100</v>
      </c>
      <c r="T17" s="705" t="s">
        <v>14</v>
      </c>
      <c r="U17" s="706">
        <f>H17</f>
        <v>100</v>
      </c>
      <c r="V17" s="705" t="s">
        <v>14</v>
      </c>
      <c r="W17" s="706">
        <f>J17</f>
        <v>100</v>
      </c>
      <c r="X17" s="3453"/>
      <c r="Y17" s="3717"/>
      <c r="Z17" s="3454" t="str">
        <f>Q17</f>
        <v>交通便捷度</v>
      </c>
      <c r="AA17" s="3452">
        <f t="shared" si="3"/>
        <v>1</v>
      </c>
      <c r="AB17" s="3452">
        <f t="shared" si="4"/>
        <v>1</v>
      </c>
      <c r="AC17" s="1962">
        <f t="shared" si="5"/>
        <v>1</v>
      </c>
    </row>
    <row r="18" spans="1:29" ht="15">
      <c r="A18" s="379"/>
      <c r="B18" s="580"/>
      <c r="C18" s="1964" t="s">
        <v>3451</v>
      </c>
      <c r="D18" s="401"/>
      <c r="E18" s="1902" t="s">
        <v>3451</v>
      </c>
      <c r="F18" s="401"/>
      <c r="G18" s="1903" t="s">
        <v>3451</v>
      </c>
      <c r="H18" s="399"/>
      <c r="I18" s="1903" t="s">
        <v>3451</v>
      </c>
      <c r="J18" s="399"/>
      <c r="K18" s="564"/>
      <c r="L18" s="2721"/>
      <c r="M18" s="2715"/>
      <c r="N18" s="2715"/>
      <c r="O18" s="2715"/>
      <c r="P18" s="3724"/>
      <c r="Q18" s="3451"/>
      <c r="R18" s="705"/>
      <c r="S18" s="706"/>
      <c r="T18" s="705"/>
      <c r="U18" s="706"/>
      <c r="V18" s="705"/>
      <c r="W18" s="706"/>
      <c r="X18" s="3453"/>
      <c r="Y18" s="3717"/>
      <c r="Z18" s="3454"/>
      <c r="AA18" s="3452">
        <v>1</v>
      </c>
      <c r="AB18" s="3452">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24"/>
      <c r="Q19" s="3451" t="str">
        <f>B19</f>
        <v>公共配套设施</v>
      </c>
      <c r="R19" s="705" t="s">
        <v>14</v>
      </c>
      <c r="S19" s="706">
        <f>F19</f>
        <v>100</v>
      </c>
      <c r="T19" s="705" t="s">
        <v>14</v>
      </c>
      <c r="U19" s="706">
        <f>H19</f>
        <v>100</v>
      </c>
      <c r="V19" s="705" t="s">
        <v>14</v>
      </c>
      <c r="W19" s="706">
        <f>J19</f>
        <v>100</v>
      </c>
      <c r="X19" s="3453"/>
      <c r="Y19" s="3717"/>
      <c r="Z19" s="3454" t="str">
        <f>Q19</f>
        <v>公共配套设施</v>
      </c>
      <c r="AA19" s="3452">
        <f t="shared" si="3"/>
        <v>1</v>
      </c>
      <c r="AB19" s="3452">
        <f t="shared" si="4"/>
        <v>1</v>
      </c>
      <c r="AC19" s="1962">
        <f t="shared" si="5"/>
        <v>1</v>
      </c>
    </row>
    <row r="20" spans="1:29" ht="15">
      <c r="A20" s="379"/>
      <c r="B20" s="580"/>
      <c r="C20" s="1904" t="s">
        <v>3451</v>
      </c>
      <c r="D20" s="399"/>
      <c r="E20" s="1897" t="s">
        <v>3451</v>
      </c>
      <c r="F20" s="399"/>
      <c r="G20" s="1898" t="s">
        <v>3451</v>
      </c>
      <c r="H20" s="399"/>
      <c r="I20" s="1898" t="s">
        <v>3451</v>
      </c>
      <c r="J20" s="399"/>
      <c r="K20" s="564"/>
      <c r="L20" s="2721"/>
      <c r="M20" s="2715"/>
      <c r="N20" s="2715"/>
      <c r="O20" s="2715"/>
      <c r="P20" s="3724"/>
      <c r="Q20" s="3451"/>
      <c r="R20" s="705"/>
      <c r="S20" s="706"/>
      <c r="T20" s="705"/>
      <c r="U20" s="706"/>
      <c r="V20" s="705"/>
      <c r="W20" s="706"/>
      <c r="X20" s="3453"/>
      <c r="Y20" s="3717"/>
      <c r="Z20" s="3454"/>
      <c r="AA20" s="3452">
        <v>1</v>
      </c>
      <c r="AB20" s="3452">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24"/>
      <c r="Q21" s="3451" t="str">
        <f>B21</f>
        <v>基础设施水平</v>
      </c>
      <c r="R21" s="705" t="s">
        <v>14</v>
      </c>
      <c r="S21" s="706">
        <f>F21</f>
        <v>100</v>
      </c>
      <c r="T21" s="705" t="s">
        <v>14</v>
      </c>
      <c r="U21" s="706">
        <f>H21</f>
        <v>100</v>
      </c>
      <c r="V21" s="705" t="s">
        <v>14</v>
      </c>
      <c r="W21" s="706">
        <f>J21</f>
        <v>100</v>
      </c>
      <c r="X21" s="3453"/>
      <c r="Y21" s="3717"/>
      <c r="Z21" s="3454" t="str">
        <f>Q21</f>
        <v>基础设施水平</v>
      </c>
      <c r="AA21" s="3452">
        <f t="shared" ref="AA21" si="8">D21/F21</f>
        <v>1</v>
      </c>
      <c r="AB21" s="3452">
        <f t="shared" ref="AB21" si="9">D21/H21</f>
        <v>1</v>
      </c>
      <c r="AC21" s="1962">
        <f t="shared" ref="AC21" si="10">D21/J21</f>
        <v>1</v>
      </c>
    </row>
    <row r="22" spans="1:29" ht="15">
      <c r="A22" s="379"/>
      <c r="B22" s="581"/>
      <c r="C22" s="1964" t="s">
        <v>3428</v>
      </c>
      <c r="D22" s="399"/>
      <c r="E22" s="398" t="s">
        <v>3428</v>
      </c>
      <c r="F22" s="399"/>
      <c r="G22" s="1904" t="s">
        <v>3428</v>
      </c>
      <c r="H22" s="399"/>
      <c r="I22" s="1904" t="s">
        <v>3428</v>
      </c>
      <c r="J22" s="399"/>
      <c r="K22" s="1130"/>
      <c r="L22" s="2721"/>
      <c r="M22" s="2715"/>
      <c r="N22" s="2715"/>
      <c r="O22" s="2715"/>
      <c r="P22" s="3724"/>
      <c r="Q22" s="3451"/>
      <c r="R22" s="705"/>
      <c r="S22" s="706"/>
      <c r="T22" s="705"/>
      <c r="U22" s="706"/>
      <c r="V22" s="705"/>
      <c r="W22" s="706"/>
      <c r="X22" s="3453"/>
      <c r="Y22" s="3717"/>
      <c r="Z22" s="3454"/>
      <c r="AA22" s="3452">
        <v>1</v>
      </c>
      <c r="AB22" s="3452">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24"/>
      <c r="Q23" s="3451" t="str">
        <f>B23</f>
        <v>环境质量</v>
      </c>
      <c r="R23" s="705" t="s">
        <v>14</v>
      </c>
      <c r="S23" s="706">
        <f>F23</f>
        <v>100</v>
      </c>
      <c r="T23" s="705" t="s">
        <v>14</v>
      </c>
      <c r="U23" s="706">
        <f>H23</f>
        <v>100</v>
      </c>
      <c r="V23" s="705" t="s">
        <v>14</v>
      </c>
      <c r="W23" s="706">
        <f>J23</f>
        <v>100</v>
      </c>
      <c r="X23" s="3453"/>
      <c r="Y23" s="3717"/>
      <c r="Z23" s="3454" t="str">
        <f>Q23</f>
        <v>环境质量</v>
      </c>
      <c r="AA23" s="3452">
        <f t="shared" si="3"/>
        <v>1</v>
      </c>
      <c r="AB23" s="3452">
        <f t="shared" si="4"/>
        <v>1</v>
      </c>
      <c r="AC23" s="1962">
        <f t="shared" si="5"/>
        <v>1</v>
      </c>
    </row>
    <row r="24" spans="1:29" ht="15">
      <c r="A24" s="379"/>
      <c r="B24" s="581"/>
      <c r="C24" s="1904" t="s">
        <v>3452</v>
      </c>
      <c r="D24" s="399"/>
      <c r="E24" s="1897" t="s">
        <v>3452</v>
      </c>
      <c r="F24" s="399"/>
      <c r="G24" s="1898" t="s">
        <v>3452</v>
      </c>
      <c r="H24" s="399"/>
      <c r="I24" s="1898" t="s">
        <v>3452</v>
      </c>
      <c r="J24" s="399"/>
      <c r="K24" s="564"/>
      <c r="L24" s="2721"/>
      <c r="M24" s="2715"/>
      <c r="N24" s="2715"/>
      <c r="O24" s="2715"/>
      <c r="P24" s="3724"/>
      <c r="Q24" s="3451"/>
      <c r="R24" s="705"/>
      <c r="S24" s="706"/>
      <c r="T24" s="705"/>
      <c r="U24" s="706"/>
      <c r="V24" s="705"/>
      <c r="W24" s="706"/>
      <c r="X24" s="3453"/>
      <c r="Y24" s="3717"/>
      <c r="Z24" s="3454"/>
      <c r="AA24" s="3452">
        <v>1</v>
      </c>
      <c r="AB24" s="3452">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24"/>
      <c r="Q25" s="3451" t="str">
        <f>B25</f>
        <v>毗邻道路的类型与等级</v>
      </c>
      <c r="R25" s="705" t="s">
        <v>14</v>
      </c>
      <c r="S25" s="706">
        <f>F25</f>
        <v>100</v>
      </c>
      <c r="T25" s="705" t="s">
        <v>14</v>
      </c>
      <c r="U25" s="706">
        <f>H25</f>
        <v>100</v>
      </c>
      <c r="V25" s="705" t="s">
        <v>14</v>
      </c>
      <c r="W25" s="706">
        <f>J25</f>
        <v>100</v>
      </c>
      <c r="X25" s="3453"/>
      <c r="Y25" s="3717"/>
      <c r="Z25" s="3454" t="str">
        <f>Q25</f>
        <v>毗邻道路的类型与等级</v>
      </c>
      <c r="AA25" s="3452">
        <f t="shared" si="3"/>
        <v>1</v>
      </c>
      <c r="AB25" s="3452">
        <f t="shared" si="4"/>
        <v>1</v>
      </c>
      <c r="AC25" s="1962">
        <f t="shared" si="5"/>
        <v>1</v>
      </c>
    </row>
    <row r="26" spans="1:29" ht="15">
      <c r="A26" s="358"/>
      <c r="B26" s="580"/>
      <c r="C26" s="582" t="s">
        <v>3453</v>
      </c>
      <c r="D26" s="386"/>
      <c r="E26" s="565" t="s">
        <v>3453</v>
      </c>
      <c r="F26" s="386"/>
      <c r="G26" s="582" t="s">
        <v>3453</v>
      </c>
      <c r="H26" s="386"/>
      <c r="I26" s="565" t="s">
        <v>3453</v>
      </c>
      <c r="J26" s="386"/>
      <c r="K26" s="564"/>
      <c r="L26" s="2721"/>
      <c r="M26" s="2715"/>
      <c r="N26" s="2715"/>
      <c r="O26" s="2715"/>
      <c r="P26" s="3724"/>
      <c r="Q26" s="3451"/>
      <c r="R26" s="705"/>
      <c r="S26" s="706"/>
      <c r="T26" s="705"/>
      <c r="U26" s="706"/>
      <c r="V26" s="705"/>
      <c r="W26" s="706"/>
      <c r="X26" s="3453"/>
      <c r="Y26" s="3717"/>
      <c r="Z26" s="3454"/>
      <c r="AA26" s="3452">
        <v>1</v>
      </c>
      <c r="AB26" s="3452">
        <v>1</v>
      </c>
      <c r="AC26" s="1962">
        <v>1</v>
      </c>
    </row>
    <row r="27" spans="1:29" ht="15">
      <c r="A27" s="379"/>
      <c r="B27" s="580" t="s">
        <v>1780</v>
      </c>
      <c r="C27" s="582" t="s">
        <v>3411</v>
      </c>
      <c r="D27" s="386">
        <v>100</v>
      </c>
      <c r="E27" s="565" t="s">
        <v>3411</v>
      </c>
      <c r="F27" s="386">
        <f>SUMIF(89:89,E27,90:90)-SUMIF(89:89,C27,90:90)+100</f>
        <v>100</v>
      </c>
      <c r="G27" s="582" t="s">
        <v>3411</v>
      </c>
      <c r="H27" s="386">
        <f>SUMIF(89:89,G27,90:90)-SUMIF(89:89,C27,90:90)+100</f>
        <v>100</v>
      </c>
      <c r="I27" s="565" t="s">
        <v>3411</v>
      </c>
      <c r="J27" s="386">
        <f>SUMIF(89:89,I27,90:90)-SUMIF(89:89,C27,90:90)+100</f>
        <v>100</v>
      </c>
      <c r="K27" s="561">
        <v>2</v>
      </c>
      <c r="L27" s="2721"/>
      <c r="M27" s="2715"/>
      <c r="N27" s="2715"/>
      <c r="O27" s="2715"/>
      <c r="P27" s="3724"/>
      <c r="Q27" s="3451" t="str">
        <f t="shared" ref="Q27:Q47" si="11">B27</f>
        <v>楼层</v>
      </c>
      <c r="R27" s="705" t="s">
        <v>14</v>
      </c>
      <c r="S27" s="706">
        <f>F27</f>
        <v>100</v>
      </c>
      <c r="T27" s="705" t="s">
        <v>14</v>
      </c>
      <c r="U27" s="706">
        <f>H27</f>
        <v>100</v>
      </c>
      <c r="V27" s="705" t="s">
        <v>14</v>
      </c>
      <c r="W27" s="706">
        <f>J27</f>
        <v>100</v>
      </c>
      <c r="X27" s="3453"/>
      <c r="Y27" s="3717"/>
      <c r="Z27" s="3454" t="str">
        <f>Q27</f>
        <v>楼层</v>
      </c>
      <c r="AA27" s="3452">
        <f t="shared" si="3"/>
        <v>1</v>
      </c>
      <c r="AB27" s="3452">
        <f t="shared" si="4"/>
        <v>1</v>
      </c>
      <c r="AC27" s="1962">
        <f t="shared" si="5"/>
        <v>1</v>
      </c>
    </row>
    <row r="28" spans="1:29" s="108" customFormat="1" ht="15.75" thickBot="1">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4"/>
      <c r="Q28" s="3449" t="str">
        <f t="shared" si="11"/>
        <v>朝向</v>
      </c>
      <c r="R28" s="701" t="s">
        <v>14</v>
      </c>
      <c r="S28" s="702">
        <f>F28</f>
        <v>100</v>
      </c>
      <c r="T28" s="701" t="s">
        <v>14</v>
      </c>
      <c r="U28" s="702">
        <f>H28</f>
        <v>100</v>
      </c>
      <c r="V28" s="701" t="s">
        <v>14</v>
      </c>
      <c r="W28" s="702">
        <f>J28</f>
        <v>100</v>
      </c>
      <c r="X28" s="703"/>
      <c r="Y28" s="3717"/>
      <c r="Z28" s="3448" t="str">
        <f>Q28</f>
        <v>朝向</v>
      </c>
      <c r="AA28" s="3452">
        <f>D28/F28</f>
        <v>1</v>
      </c>
      <c r="AB28" s="3452">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4"/>
      <c r="Q29" s="3451">
        <f t="shared" si="11"/>
        <v>111</v>
      </c>
      <c r="R29" s="705" t="s">
        <v>14</v>
      </c>
      <c r="S29" s="706">
        <f t="shared" ref="S29:S47" si="12">F29</f>
        <v>100</v>
      </c>
      <c r="T29" s="705" t="s">
        <v>14</v>
      </c>
      <c r="U29" s="706">
        <f t="shared" ref="U29:U47" si="13">H29</f>
        <v>100</v>
      </c>
      <c r="V29" s="705" t="s">
        <v>14</v>
      </c>
      <c r="W29" s="706">
        <f t="shared" ref="W29:W47" si="14">J29</f>
        <v>100</v>
      </c>
      <c r="X29" s="3453"/>
      <c r="Y29" s="3717"/>
      <c r="Z29" s="3454">
        <f t="shared" ref="Z29:Z47" si="15">Q29</f>
        <v>111</v>
      </c>
      <c r="AA29" s="3452">
        <f t="shared" si="3"/>
        <v>1</v>
      </c>
      <c r="AB29" s="3452">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4"/>
      <c r="Q30" s="3451">
        <f t="shared" si="11"/>
        <v>111</v>
      </c>
      <c r="R30" s="705" t="s">
        <v>14</v>
      </c>
      <c r="S30" s="706">
        <f t="shared" si="12"/>
        <v>100</v>
      </c>
      <c r="T30" s="705" t="s">
        <v>14</v>
      </c>
      <c r="U30" s="706">
        <f t="shared" si="13"/>
        <v>100</v>
      </c>
      <c r="V30" s="705" t="s">
        <v>14</v>
      </c>
      <c r="W30" s="706">
        <f t="shared" si="14"/>
        <v>100</v>
      </c>
      <c r="X30" s="3453"/>
      <c r="Y30" s="3717"/>
      <c r="Z30" s="3454">
        <f t="shared" si="15"/>
        <v>111</v>
      </c>
      <c r="AA30" s="3452">
        <f t="shared" si="3"/>
        <v>1</v>
      </c>
      <c r="AB30" s="3452">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4"/>
      <c r="Q31" s="3451">
        <f t="shared" si="11"/>
        <v>111</v>
      </c>
      <c r="R31" s="705" t="s">
        <v>14</v>
      </c>
      <c r="S31" s="706">
        <f t="shared" si="12"/>
        <v>100</v>
      </c>
      <c r="T31" s="705" t="s">
        <v>14</v>
      </c>
      <c r="U31" s="706">
        <f t="shared" si="13"/>
        <v>100</v>
      </c>
      <c r="V31" s="705" t="s">
        <v>14</v>
      </c>
      <c r="W31" s="706">
        <f t="shared" si="14"/>
        <v>100</v>
      </c>
      <c r="X31" s="3453"/>
      <c r="Y31" s="3717"/>
      <c r="Z31" s="3454">
        <f t="shared" si="15"/>
        <v>111</v>
      </c>
      <c r="AA31" s="3452">
        <f t="shared" si="3"/>
        <v>1</v>
      </c>
      <c r="AB31" s="3452">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4"/>
      <c r="Q32" s="3451">
        <f t="shared" si="11"/>
        <v>111</v>
      </c>
      <c r="R32" s="705" t="s">
        <v>14</v>
      </c>
      <c r="S32" s="706">
        <f t="shared" si="12"/>
        <v>100</v>
      </c>
      <c r="T32" s="705" t="s">
        <v>14</v>
      </c>
      <c r="U32" s="706">
        <f t="shared" si="13"/>
        <v>100</v>
      </c>
      <c r="V32" s="705" t="s">
        <v>14</v>
      </c>
      <c r="W32" s="706">
        <f t="shared" si="14"/>
        <v>100</v>
      </c>
      <c r="X32" s="3453"/>
      <c r="Y32" s="3717"/>
      <c r="Z32" s="3454">
        <f t="shared" si="15"/>
        <v>111</v>
      </c>
      <c r="AA32" s="3452">
        <f t="shared" si="3"/>
        <v>1</v>
      </c>
      <c r="AB32" s="3452">
        <f t="shared" si="4"/>
        <v>1</v>
      </c>
      <c r="AC32" s="1962">
        <f t="shared" si="5"/>
        <v>1</v>
      </c>
    </row>
    <row r="33" spans="1:29" ht="15">
      <c r="A33" s="391" t="s">
        <v>1691</v>
      </c>
      <c r="B33" s="63" t="s">
        <v>1814</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c r="L33" s="2721"/>
      <c r="M33" s="2715"/>
      <c r="N33" s="2715"/>
      <c r="O33" s="2715"/>
      <c r="P33" s="3718" t="s">
        <v>1693</v>
      </c>
      <c r="Q33" s="3451" t="str">
        <f t="shared" si="11"/>
        <v>建筑类型</v>
      </c>
      <c r="R33" s="705" t="s">
        <v>14</v>
      </c>
      <c r="S33" s="706">
        <f t="shared" si="12"/>
        <v>100</v>
      </c>
      <c r="T33" s="705" t="s">
        <v>14</v>
      </c>
      <c r="U33" s="706">
        <f t="shared" si="13"/>
        <v>100</v>
      </c>
      <c r="V33" s="705" t="s">
        <v>14</v>
      </c>
      <c r="W33" s="706">
        <f t="shared" si="14"/>
        <v>100</v>
      </c>
      <c r="X33" s="3453"/>
      <c r="Y33" s="3721" t="s">
        <v>1693</v>
      </c>
      <c r="Z33" s="3454" t="str">
        <f t="shared" si="15"/>
        <v>建筑类型</v>
      </c>
      <c r="AA33" s="3452">
        <f t="shared" si="3"/>
        <v>1</v>
      </c>
      <c r="AB33" s="3452">
        <f t="shared" si="4"/>
        <v>1</v>
      </c>
      <c r="AC33" s="1962">
        <f t="shared" si="5"/>
        <v>1</v>
      </c>
    </row>
    <row r="34" spans="1:29" s="422" customFormat="1" ht="15">
      <c r="A34" s="419"/>
      <c r="B34" s="375" t="s">
        <v>1694</v>
      </c>
      <c r="C34" s="420">
        <v>58.44</v>
      </c>
      <c r="D34" s="127">
        <v>100</v>
      </c>
      <c r="E34" s="381">
        <v>59</v>
      </c>
      <c r="F34" s="376">
        <f>LOOKUP(E34,104:104,105:105)-LOOKUP(C34,104:104,105:105)+100</f>
        <v>100</v>
      </c>
      <c r="G34" s="380">
        <v>80.37</v>
      </c>
      <c r="H34" s="127">
        <f>LOOKUP(G34,104:104,105:105)-LOOKUP(C34,104:104,105:105)+100</f>
        <v>100</v>
      </c>
      <c r="I34" s="380">
        <v>80</v>
      </c>
      <c r="J34" s="127">
        <f>LOOKUP(I34,104:104,105:105)-LOOKUP(C34,104:104,105:105)+100</f>
        <v>100</v>
      </c>
      <c r="K34" s="562"/>
      <c r="L34" s="2720"/>
      <c r="M34" s="2722"/>
      <c r="N34" s="2722"/>
      <c r="O34" s="2722"/>
      <c r="P34" s="3719"/>
      <c r="Q34" s="707" t="str">
        <f t="shared" si="11"/>
        <v>项目建筑规模</v>
      </c>
      <c r="R34" s="708" t="s">
        <v>14</v>
      </c>
      <c r="S34" s="709">
        <f t="shared" si="12"/>
        <v>100</v>
      </c>
      <c r="T34" s="708" t="s">
        <v>14</v>
      </c>
      <c r="U34" s="709">
        <f t="shared" si="13"/>
        <v>100</v>
      </c>
      <c r="V34" s="708" t="s">
        <v>14</v>
      </c>
      <c r="W34" s="709">
        <f t="shared" si="14"/>
        <v>100</v>
      </c>
      <c r="X34" s="710"/>
      <c r="Y34" s="3721"/>
      <c r="Z34" s="711" t="str">
        <f t="shared" si="15"/>
        <v>项目建筑规模</v>
      </c>
      <c r="AA34" s="3452">
        <f t="shared" si="3"/>
        <v>1</v>
      </c>
      <c r="AB34" s="3452">
        <f t="shared" si="4"/>
        <v>1</v>
      </c>
      <c r="AC34" s="1962">
        <f t="shared" si="5"/>
        <v>1</v>
      </c>
    </row>
    <row r="35" spans="1:29" ht="15">
      <c r="A35" s="423"/>
      <c r="B35" s="375" t="s">
        <v>1695</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v>2</v>
      </c>
      <c r="L35" s="2721"/>
      <c r="M35" s="2715"/>
      <c r="N35" s="2715"/>
      <c r="O35" s="2715"/>
      <c r="P35" s="3719"/>
      <c r="Q35" s="3451" t="str">
        <f t="shared" si="11"/>
        <v>建筑结构</v>
      </c>
      <c r="R35" s="705" t="s">
        <v>14</v>
      </c>
      <c r="S35" s="706">
        <f t="shared" si="12"/>
        <v>100</v>
      </c>
      <c r="T35" s="705" t="s">
        <v>14</v>
      </c>
      <c r="U35" s="706">
        <f t="shared" si="13"/>
        <v>100</v>
      </c>
      <c r="V35" s="705" t="s">
        <v>14</v>
      </c>
      <c r="W35" s="706">
        <f t="shared" si="14"/>
        <v>100</v>
      </c>
      <c r="X35" s="3453"/>
      <c r="Y35" s="3721"/>
      <c r="Z35" s="3454" t="str">
        <f t="shared" si="15"/>
        <v>建筑结构</v>
      </c>
      <c r="AA35" s="3452">
        <f t="shared" si="3"/>
        <v>1</v>
      </c>
      <c r="AB35" s="3452">
        <f t="shared" si="4"/>
        <v>1</v>
      </c>
      <c r="AC35" s="1962">
        <f t="shared" si="5"/>
        <v>1</v>
      </c>
    </row>
    <row r="36" spans="1:29" ht="15">
      <c r="A36" s="423"/>
      <c r="B36" s="375" t="s">
        <v>1782</v>
      </c>
      <c r="C36" s="411" t="s">
        <v>3450</v>
      </c>
      <c r="D36" s="386">
        <v>100</v>
      </c>
      <c r="E36" s="411" t="s">
        <v>3450</v>
      </c>
      <c r="F36" s="412">
        <f>SUMIF(108:108,E36,109:109)-SUMIF(108:108,C36,109:109)+100</f>
        <v>100</v>
      </c>
      <c r="G36" s="411" t="s">
        <v>3450</v>
      </c>
      <c r="H36" s="386">
        <f>SUMIF(108:108,G36,109:109)-SUMIF(108:108,C36,109:109)+100</f>
        <v>100</v>
      </c>
      <c r="I36" s="411" t="s">
        <v>3450</v>
      </c>
      <c r="J36" s="386">
        <f>SUMIF(108:108,I36,109:109)-SUMIF(108:108,C36,109:109)+100</f>
        <v>100</v>
      </c>
      <c r="K36" s="561">
        <v>2</v>
      </c>
      <c r="L36" s="2721"/>
      <c r="M36" s="2715"/>
      <c r="N36" s="2715"/>
      <c r="O36" s="2715"/>
      <c r="P36" s="3719"/>
      <c r="Q36" s="3451" t="str">
        <f t="shared" si="11"/>
        <v>公共部分装修</v>
      </c>
      <c r="R36" s="705" t="s">
        <v>14</v>
      </c>
      <c r="S36" s="706">
        <f t="shared" si="12"/>
        <v>100</v>
      </c>
      <c r="T36" s="705" t="s">
        <v>14</v>
      </c>
      <c r="U36" s="706">
        <f t="shared" si="13"/>
        <v>100</v>
      </c>
      <c r="V36" s="705" t="s">
        <v>14</v>
      </c>
      <c r="W36" s="706">
        <f t="shared" si="14"/>
        <v>100</v>
      </c>
      <c r="X36" s="3453"/>
      <c r="Y36" s="3721"/>
      <c r="Z36" s="3454" t="str">
        <f t="shared" si="15"/>
        <v>公共部分装修</v>
      </c>
      <c r="AA36" s="3452">
        <f t="shared" si="3"/>
        <v>1</v>
      </c>
      <c r="AB36" s="3452">
        <f t="shared" si="4"/>
        <v>1</v>
      </c>
      <c r="AC36" s="1962">
        <f t="shared" si="5"/>
        <v>1</v>
      </c>
    </row>
    <row r="37" spans="1:29" ht="15">
      <c r="A37" s="423"/>
      <c r="B37" s="375" t="s">
        <v>1783</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v>1</v>
      </c>
      <c r="L37" s="2721"/>
      <c r="M37" s="2715"/>
      <c r="N37" s="2715"/>
      <c r="O37" s="2715"/>
      <c r="P37" s="3719"/>
      <c r="Q37" s="3451" t="str">
        <f t="shared" si="11"/>
        <v>成新度</v>
      </c>
      <c r="R37" s="705" t="s">
        <v>14</v>
      </c>
      <c r="S37" s="706">
        <f t="shared" si="12"/>
        <v>100</v>
      </c>
      <c r="T37" s="705" t="s">
        <v>14</v>
      </c>
      <c r="U37" s="706">
        <f t="shared" si="13"/>
        <v>100</v>
      </c>
      <c r="V37" s="705" t="s">
        <v>14</v>
      </c>
      <c r="W37" s="706">
        <f t="shared" si="14"/>
        <v>100</v>
      </c>
      <c r="X37" s="3453"/>
      <c r="Y37" s="3721"/>
      <c r="Z37" s="3454" t="str">
        <f t="shared" si="15"/>
        <v>成新度</v>
      </c>
      <c r="AA37" s="3452">
        <f t="shared" si="3"/>
        <v>1</v>
      </c>
      <c r="AB37" s="3452">
        <f t="shared" si="4"/>
        <v>1</v>
      </c>
      <c r="AC37" s="1962">
        <f t="shared" si="5"/>
        <v>1</v>
      </c>
    </row>
    <row r="38" spans="1:29" s="108" customFormat="1" ht="15">
      <c r="A38" s="424"/>
      <c r="B38" s="375" t="s">
        <v>1815</v>
      </c>
      <c r="C38" s="411" t="s">
        <v>3419</v>
      </c>
      <c r="D38" s="127">
        <v>100</v>
      </c>
      <c r="E38" s="411" t="s">
        <v>3419</v>
      </c>
      <c r="F38" s="412">
        <f>SUMIF(113:113,E38,114:114)-SUMIF(113:113,C38,114:114)+100</f>
        <v>100</v>
      </c>
      <c r="G38" s="411" t="s">
        <v>3419</v>
      </c>
      <c r="H38" s="386">
        <f>SUMIF(113:113,G38,114:114)-SUMIF(113:113,C38,114:114)+100</f>
        <v>100</v>
      </c>
      <c r="I38" s="411" t="s">
        <v>3419</v>
      </c>
      <c r="J38" s="386">
        <f>SUMIF(113:113,I38,114:114)-SUMIF(113:113,C38,114:114)+100</f>
        <v>100</v>
      </c>
      <c r="K38" s="561">
        <v>2</v>
      </c>
      <c r="L38" s="2716"/>
      <c r="M38" s="2717"/>
      <c r="N38" s="2717"/>
      <c r="O38" s="2717"/>
      <c r="P38" s="3719"/>
      <c r="Q38" s="3449" t="str">
        <f t="shared" si="11"/>
        <v>写字楼等级</v>
      </c>
      <c r="R38" s="701" t="s">
        <v>14</v>
      </c>
      <c r="S38" s="702">
        <f t="shared" si="12"/>
        <v>100</v>
      </c>
      <c r="T38" s="701" t="s">
        <v>14</v>
      </c>
      <c r="U38" s="702">
        <f t="shared" si="13"/>
        <v>100</v>
      </c>
      <c r="V38" s="701" t="s">
        <v>14</v>
      </c>
      <c r="W38" s="702">
        <f t="shared" si="14"/>
        <v>100</v>
      </c>
      <c r="X38" s="703"/>
      <c r="Y38" s="3721"/>
      <c r="Z38" s="3448" t="str">
        <f t="shared" si="15"/>
        <v>写字楼等级</v>
      </c>
      <c r="AA38" s="704">
        <f t="shared" si="3"/>
        <v>1</v>
      </c>
      <c r="AB38" s="704">
        <f t="shared" si="4"/>
        <v>1</v>
      </c>
      <c r="AC38" s="1959">
        <f t="shared" si="5"/>
        <v>1</v>
      </c>
    </row>
    <row r="39" spans="1:29" ht="15">
      <c r="A39" s="423"/>
      <c r="B39" s="375" t="s">
        <v>1816</v>
      </c>
      <c r="C39" s="411" t="s">
        <v>3447</v>
      </c>
      <c r="D39" s="386">
        <v>100</v>
      </c>
      <c r="E39" s="411" t="s">
        <v>3447</v>
      </c>
      <c r="F39" s="412">
        <f>SUMIF(115:115,E39,116:116)-SUMIF(115:115,C39,116:116)+100</f>
        <v>100</v>
      </c>
      <c r="G39" s="411" t="s">
        <v>3447</v>
      </c>
      <c r="H39" s="386">
        <f>SUMIF(115:115,G39,116:116)-SUMIF(115:115,C39,116:116)+100</f>
        <v>100</v>
      </c>
      <c r="I39" s="411" t="s">
        <v>3447</v>
      </c>
      <c r="J39" s="386">
        <f>SUMIF(115:115,I39,116:116)-SUMIF(115:115,C39,116:116)+100</f>
        <v>100</v>
      </c>
      <c r="K39" s="561">
        <v>2</v>
      </c>
      <c r="L39" s="2721"/>
      <c r="M39" s="2715"/>
      <c r="N39" s="2715"/>
      <c r="O39" s="2715"/>
      <c r="P39" s="3719" t="s">
        <v>1693</v>
      </c>
      <c r="Q39" s="3451" t="str">
        <f t="shared" si="11"/>
        <v>物业管理</v>
      </c>
      <c r="R39" s="705" t="s">
        <v>14</v>
      </c>
      <c r="S39" s="706">
        <f t="shared" si="12"/>
        <v>100</v>
      </c>
      <c r="T39" s="705" t="s">
        <v>14</v>
      </c>
      <c r="U39" s="706">
        <f t="shared" si="13"/>
        <v>100</v>
      </c>
      <c r="V39" s="705" t="s">
        <v>14</v>
      </c>
      <c r="W39" s="706">
        <f t="shared" si="14"/>
        <v>100</v>
      </c>
      <c r="X39" s="3453"/>
      <c r="Y39" s="3721" t="s">
        <v>1693</v>
      </c>
      <c r="Z39" s="3454" t="str">
        <f t="shared" si="15"/>
        <v>物业管理</v>
      </c>
      <c r="AA39" s="3452">
        <f t="shared" si="3"/>
        <v>1</v>
      </c>
      <c r="AB39" s="3452">
        <f t="shared" si="4"/>
        <v>1</v>
      </c>
      <c r="AC39" s="1962">
        <f t="shared" si="5"/>
        <v>1</v>
      </c>
    </row>
    <row r="40" spans="1:29" ht="15">
      <c r="A40" s="423"/>
      <c r="B40" s="375" t="s">
        <v>1784</v>
      </c>
      <c r="C40" s="411" t="s">
        <v>3431</v>
      </c>
      <c r="D40" s="386">
        <v>100</v>
      </c>
      <c r="E40" s="411" t="s">
        <v>3431</v>
      </c>
      <c r="F40" s="412">
        <f>SUMIF(117:117,E40,118:118)-SUMIF(117:117,C40,118:118)+100</f>
        <v>100</v>
      </c>
      <c r="G40" s="411" t="s">
        <v>3431</v>
      </c>
      <c r="H40" s="386">
        <f>SUMIF(117:117,G40,118:118)-SUMIF(117:117,C40,118:118)+100</f>
        <v>100</v>
      </c>
      <c r="I40" s="411" t="s">
        <v>3431</v>
      </c>
      <c r="J40" s="386">
        <f>SUMIF(117:117,I40,118:118)-SUMIF(117:117,C40,118:118)+100</f>
        <v>100</v>
      </c>
      <c r="K40" s="561">
        <v>1</v>
      </c>
      <c r="L40" s="2721"/>
      <c r="M40" s="2715"/>
      <c r="N40" s="2715"/>
      <c r="O40" s="2715"/>
      <c r="P40" s="3719"/>
      <c r="Q40" s="3451" t="str">
        <f t="shared" si="11"/>
        <v>市政基础设施</v>
      </c>
      <c r="R40" s="705" t="s">
        <v>14</v>
      </c>
      <c r="S40" s="706">
        <f t="shared" si="12"/>
        <v>100</v>
      </c>
      <c r="T40" s="705" t="s">
        <v>14</v>
      </c>
      <c r="U40" s="706">
        <f t="shared" si="13"/>
        <v>100</v>
      </c>
      <c r="V40" s="705" t="s">
        <v>14</v>
      </c>
      <c r="W40" s="706">
        <f t="shared" si="14"/>
        <v>100</v>
      </c>
      <c r="X40" s="3453"/>
      <c r="Y40" s="3721"/>
      <c r="Z40" s="3454" t="str">
        <f t="shared" si="15"/>
        <v>市政基础设施</v>
      </c>
      <c r="AA40" s="3452">
        <f t="shared" si="3"/>
        <v>1</v>
      </c>
      <c r="AB40" s="3452">
        <f t="shared" si="4"/>
        <v>1</v>
      </c>
      <c r="AC40" s="1962">
        <f t="shared" si="5"/>
        <v>1</v>
      </c>
    </row>
    <row r="41" spans="1:29" ht="15">
      <c r="A41" s="423"/>
      <c r="B41" s="375" t="s">
        <v>1786</v>
      </c>
      <c r="C41" s="565" t="s">
        <v>3442</v>
      </c>
      <c r="D41" s="386">
        <v>100</v>
      </c>
      <c r="E41" s="565" t="s">
        <v>3442</v>
      </c>
      <c r="F41" s="412">
        <f>SUMIF(119:119,E41,120:120)-SUMIF(119:119,C41,120:120)+100</f>
        <v>100</v>
      </c>
      <c r="G41" s="565" t="s">
        <v>3442</v>
      </c>
      <c r="H41" s="386">
        <f>SUMIF(119:119,G41,120:120)-SUMIF(119:119,C41,120:120)+100</f>
        <v>100</v>
      </c>
      <c r="I41" s="565" t="s">
        <v>3442</v>
      </c>
      <c r="J41" s="386">
        <f>SUMIF(119:119,I41,120:120)-SUMIF(119:119,C41,120:120)+100</f>
        <v>100</v>
      </c>
      <c r="K41" s="561">
        <v>1</v>
      </c>
      <c r="L41" s="2721"/>
      <c r="M41" s="2715"/>
      <c r="N41" s="2715"/>
      <c r="O41" s="2715"/>
      <c r="P41" s="3719"/>
      <c r="Q41" s="3451" t="str">
        <f t="shared" si="11"/>
        <v>层高</v>
      </c>
      <c r="R41" s="705" t="s">
        <v>14</v>
      </c>
      <c r="S41" s="706">
        <f t="shared" si="12"/>
        <v>100</v>
      </c>
      <c r="T41" s="705" t="s">
        <v>14</v>
      </c>
      <c r="U41" s="706">
        <f t="shared" si="13"/>
        <v>100</v>
      </c>
      <c r="V41" s="705" t="s">
        <v>14</v>
      </c>
      <c r="W41" s="706">
        <f t="shared" si="14"/>
        <v>100</v>
      </c>
      <c r="X41" s="3453"/>
      <c r="Y41" s="3721"/>
      <c r="Z41" s="3454" t="str">
        <f t="shared" si="15"/>
        <v>层高</v>
      </c>
      <c r="AA41" s="3452">
        <f t="shared" si="3"/>
        <v>1</v>
      </c>
      <c r="AB41" s="3452">
        <f t="shared" si="4"/>
        <v>1</v>
      </c>
      <c r="AC41" s="1962">
        <f t="shared" si="5"/>
        <v>1</v>
      </c>
    </row>
    <row r="42" spans="1:29" s="422" customFormat="1" ht="15">
      <c r="A42" s="419"/>
      <c r="B42" s="3450" t="s">
        <v>1817</v>
      </c>
      <c r="C42" s="385">
        <v>58.44</v>
      </c>
      <c r="D42" s="386">
        <v>100</v>
      </c>
      <c r="E42" s="385">
        <v>59</v>
      </c>
      <c r="F42" s="412">
        <f>SUMIF(121:121,E42,122:122)-SUMIF(121:121,C42,122:122)+100</f>
        <v>100</v>
      </c>
      <c r="G42" s="385">
        <v>80.37</v>
      </c>
      <c r="H42" s="386">
        <f>SUMIF(121:121,G42,122:122)-SUMIF(121:121,C42,122:122)+100</f>
        <v>100</v>
      </c>
      <c r="I42" s="385">
        <v>80</v>
      </c>
      <c r="J42" s="386">
        <f>SUMIF(121:121,I42,122:122)-SUMIF(121:121,C42,122:122)+100</f>
        <v>100</v>
      </c>
      <c r="K42" s="562"/>
      <c r="L42" s="2720"/>
      <c r="M42" s="2722"/>
      <c r="N42" s="2722"/>
      <c r="O42" s="2722"/>
      <c r="P42" s="3719"/>
      <c r="Q42" s="707" t="str">
        <f t="shared" si="11"/>
        <v>单套建筑面积</v>
      </c>
      <c r="R42" s="708" t="s">
        <v>14</v>
      </c>
      <c r="S42" s="709">
        <f t="shared" si="12"/>
        <v>100</v>
      </c>
      <c r="T42" s="708" t="s">
        <v>14</v>
      </c>
      <c r="U42" s="709">
        <f t="shared" si="13"/>
        <v>100</v>
      </c>
      <c r="V42" s="708" t="s">
        <v>14</v>
      </c>
      <c r="W42" s="709">
        <f t="shared" si="14"/>
        <v>100</v>
      </c>
      <c r="X42" s="710"/>
      <c r="Y42" s="3721"/>
      <c r="Z42" s="711" t="str">
        <f t="shared" si="15"/>
        <v>单套建筑面积</v>
      </c>
      <c r="AA42" s="3452">
        <f t="shared" si="3"/>
        <v>1</v>
      </c>
      <c r="AB42" s="3452">
        <f t="shared" si="4"/>
        <v>1</v>
      </c>
      <c r="AC42" s="1962">
        <f t="shared" si="5"/>
        <v>1</v>
      </c>
    </row>
    <row r="43" spans="1:29" ht="15">
      <c r="A43" s="423"/>
      <c r="B43" s="375" t="s">
        <v>1789</v>
      </c>
      <c r="C43" s="411" t="s">
        <v>3456</v>
      </c>
      <c r="D43" s="386">
        <v>100</v>
      </c>
      <c r="E43" s="411" t="s">
        <v>3450</v>
      </c>
      <c r="F43" s="412">
        <f>SUMIF(123:123,E43,124:124)-SUMIF(123:123,C43,124:124)+100</f>
        <v>102</v>
      </c>
      <c r="G43" s="411" t="s">
        <v>3450</v>
      </c>
      <c r="H43" s="386">
        <f>SUMIF(123:123,G43,124:124)-SUMIF(123:123,C43,124:124)+100</f>
        <v>102</v>
      </c>
      <c r="I43" s="411" t="s">
        <v>3450</v>
      </c>
      <c r="J43" s="386">
        <f>SUMIF(123:123,I43,124:124)-SUMIF(123:123,C43,124:124)+100</f>
        <v>102</v>
      </c>
      <c r="K43" s="561">
        <v>2</v>
      </c>
      <c r="L43" s="2721"/>
      <c r="M43" s="2715"/>
      <c r="N43" s="2715"/>
      <c r="O43" s="2715"/>
      <c r="P43" s="3719"/>
      <c r="Q43" s="3451" t="str">
        <f t="shared" si="11"/>
        <v>内部装修</v>
      </c>
      <c r="R43" s="705" t="s">
        <v>14</v>
      </c>
      <c r="S43" s="706">
        <f t="shared" si="12"/>
        <v>102</v>
      </c>
      <c r="T43" s="705" t="s">
        <v>14</v>
      </c>
      <c r="U43" s="706">
        <f t="shared" si="13"/>
        <v>102</v>
      </c>
      <c r="V43" s="705" t="s">
        <v>14</v>
      </c>
      <c r="W43" s="706">
        <f t="shared" si="14"/>
        <v>102</v>
      </c>
      <c r="X43" s="3453"/>
      <c r="Y43" s="3721"/>
      <c r="Z43" s="3454" t="str">
        <f t="shared" si="15"/>
        <v>内部装修</v>
      </c>
      <c r="AA43" s="3452">
        <f t="shared" si="3"/>
        <v>0.98039215686274506</v>
      </c>
      <c r="AB43" s="3452">
        <f t="shared" si="4"/>
        <v>0.98039215686274506</v>
      </c>
      <c r="AC43" s="1962">
        <f t="shared" si="5"/>
        <v>0.98039215686274506</v>
      </c>
    </row>
    <row r="44" spans="1:29" ht="15.75" thickBot="1">
      <c r="A44" s="423"/>
      <c r="B44" s="375" t="s">
        <v>1704</v>
      </c>
      <c r="C44" s="411" t="s">
        <v>3451</v>
      </c>
      <c r="D44" s="386">
        <v>100</v>
      </c>
      <c r="E44" s="1906" t="s">
        <v>3451</v>
      </c>
      <c r="F44" s="412">
        <f>SUMIF(125:125,E44,126:126)-SUMIF(125:125,C44,126:126)+100</f>
        <v>100</v>
      </c>
      <c r="G44" s="1906" t="s">
        <v>3451</v>
      </c>
      <c r="H44" s="386">
        <f>SUMIF(125:125,G44,126:126)-SUMIF(125:125,C44,126:126)+100</f>
        <v>100</v>
      </c>
      <c r="I44" s="1906" t="s">
        <v>3457</v>
      </c>
      <c r="J44" s="386">
        <f>SUMIF(125:125,I44,126:126)-SUMIF(125:125,C44,126:126)+100</f>
        <v>102</v>
      </c>
      <c r="K44" s="561">
        <v>2</v>
      </c>
      <c r="L44" s="2721"/>
      <c r="M44" s="2715"/>
      <c r="N44" s="2715"/>
      <c r="O44" s="2715"/>
      <c r="P44" s="3719"/>
      <c r="Q44" s="3451" t="str">
        <f t="shared" si="11"/>
        <v>内部装修维护情况</v>
      </c>
      <c r="R44" s="705" t="s">
        <v>14</v>
      </c>
      <c r="S44" s="706">
        <f t="shared" si="12"/>
        <v>100</v>
      </c>
      <c r="T44" s="705" t="s">
        <v>14</v>
      </c>
      <c r="U44" s="706">
        <f t="shared" si="13"/>
        <v>100</v>
      </c>
      <c r="V44" s="705" t="s">
        <v>14</v>
      </c>
      <c r="W44" s="706">
        <f t="shared" si="14"/>
        <v>102</v>
      </c>
      <c r="X44" s="3453"/>
      <c r="Y44" s="3721"/>
      <c r="Z44" s="3454" t="str">
        <f t="shared" si="15"/>
        <v>内部装修维护情况</v>
      </c>
      <c r="AA44" s="3452">
        <f t="shared" si="3"/>
        <v>1</v>
      </c>
      <c r="AB44" s="3452">
        <f t="shared" si="4"/>
        <v>1</v>
      </c>
      <c r="AC44" s="1962">
        <f t="shared" si="5"/>
        <v>0.98039215686274506</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9"/>
      <c r="Q45" s="3449">
        <f t="shared" si="11"/>
        <v>111</v>
      </c>
      <c r="R45" s="701" t="s">
        <v>14</v>
      </c>
      <c r="S45" s="702">
        <f t="shared" si="12"/>
        <v>100</v>
      </c>
      <c r="T45" s="701" t="s">
        <v>14</v>
      </c>
      <c r="U45" s="702">
        <f t="shared" si="13"/>
        <v>100</v>
      </c>
      <c r="V45" s="701" t="s">
        <v>14</v>
      </c>
      <c r="W45" s="702">
        <f t="shared" si="14"/>
        <v>100</v>
      </c>
      <c r="X45" s="703"/>
      <c r="Y45" s="3721"/>
      <c r="Z45" s="3448">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9"/>
      <c r="Q46" s="3451">
        <f t="shared" si="11"/>
        <v>111</v>
      </c>
      <c r="R46" s="705" t="s">
        <v>14</v>
      </c>
      <c r="S46" s="706">
        <f t="shared" si="12"/>
        <v>100</v>
      </c>
      <c r="T46" s="705" t="s">
        <v>14</v>
      </c>
      <c r="U46" s="706">
        <f t="shared" si="13"/>
        <v>100</v>
      </c>
      <c r="V46" s="705" t="s">
        <v>14</v>
      </c>
      <c r="W46" s="706">
        <f t="shared" si="14"/>
        <v>100</v>
      </c>
      <c r="X46" s="3453"/>
      <c r="Y46" s="3721"/>
      <c r="Z46" s="3454">
        <f t="shared" si="15"/>
        <v>111</v>
      </c>
      <c r="AA46" s="3452">
        <f t="shared" si="3"/>
        <v>1</v>
      </c>
      <c r="AB46" s="3452">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0"/>
      <c r="Q47" s="3451">
        <f t="shared" si="11"/>
        <v>111</v>
      </c>
      <c r="R47" s="705" t="s">
        <v>14</v>
      </c>
      <c r="S47" s="706">
        <f t="shared" si="12"/>
        <v>100</v>
      </c>
      <c r="T47" s="705" t="s">
        <v>14</v>
      </c>
      <c r="U47" s="706">
        <f t="shared" si="13"/>
        <v>100</v>
      </c>
      <c r="V47" s="705" t="s">
        <v>14</v>
      </c>
      <c r="W47" s="706">
        <f t="shared" si="14"/>
        <v>100</v>
      </c>
      <c r="X47" s="3453"/>
      <c r="Y47" s="3722"/>
      <c r="Z47" s="3454">
        <f t="shared" si="15"/>
        <v>111</v>
      </c>
      <c r="AA47" s="3452">
        <f t="shared" si="3"/>
        <v>1</v>
      </c>
      <c r="AB47" s="3452">
        <f t="shared" si="4"/>
        <v>1</v>
      </c>
      <c r="AC47" s="1962">
        <f t="shared" si="5"/>
        <v>1</v>
      </c>
    </row>
    <row r="48" spans="1:29" ht="15">
      <c r="A48" s="430" t="s">
        <v>1705</v>
      </c>
      <c r="B48" s="431"/>
      <c r="C48" s="1154" t="s">
        <v>0</v>
      </c>
      <c r="D48" s="1155"/>
      <c r="E48" s="1156">
        <v>5</v>
      </c>
      <c r="F48" s="1157"/>
      <c r="G48" s="1158">
        <v>5</v>
      </c>
      <c r="H48" s="1159"/>
      <c r="I48" s="1156">
        <v>5</v>
      </c>
      <c r="J48" s="436"/>
      <c r="K48" s="714"/>
      <c r="L48" s="2723"/>
      <c r="M48" s="2715"/>
      <c r="N48" s="2715"/>
      <c r="O48" s="2715"/>
      <c r="P48" s="3725" t="str">
        <f>A48</f>
        <v>成交单价（元/平方米）</v>
      </c>
      <c r="Q48" s="3714"/>
      <c r="R48" s="3715">
        <f>E48</f>
        <v>5</v>
      </c>
      <c r="S48" s="3715"/>
      <c r="T48" s="3715">
        <f>G48</f>
        <v>5</v>
      </c>
      <c r="U48" s="3715"/>
      <c r="V48" s="3715">
        <f>I48</f>
        <v>5</v>
      </c>
      <c r="W48" s="3715"/>
      <c r="X48" s="397"/>
      <c r="Y48" s="712"/>
      <c r="Z48" s="397"/>
      <c r="AA48" s="397"/>
      <c r="AB48" s="397"/>
      <c r="AC48" s="578"/>
    </row>
    <row r="49" spans="1:29" ht="15.75" thickBot="1">
      <c r="A49" s="437" t="s">
        <v>1790</v>
      </c>
      <c r="B49" s="438"/>
      <c r="C49" s="1160">
        <f>R50</f>
        <v>4.9000000000000004</v>
      </c>
      <c r="D49" s="2317" t="s">
        <v>2134</v>
      </c>
      <c r="E49" s="1161">
        <f>R49</f>
        <v>4.9000000000000004</v>
      </c>
      <c r="F49" s="2318"/>
      <c r="G49" s="1160">
        <f>T49</f>
        <v>4.9000000000000004</v>
      </c>
      <c r="H49" s="2318"/>
      <c r="I49" s="1161">
        <f>V49</f>
        <v>4.8</v>
      </c>
      <c r="J49" s="2318"/>
      <c r="K49" s="2320">
        <f>F49+H49+J49</f>
        <v>0</v>
      </c>
      <c r="L49" s="2723"/>
      <c r="M49" s="2715"/>
      <c r="N49" s="2715"/>
      <c r="O49" s="2715"/>
      <c r="P49" s="3725" t="str">
        <f>A49</f>
        <v>比较价值（元/平方米）</v>
      </c>
      <c r="Q49" s="3714"/>
      <c r="R49" s="3715">
        <f>IF(F1="售价",ROUND(PRODUCT(R48,AA7:AA47),0),ROUND(PRODUCT(R48,AA7:AA47),1))</f>
        <v>4.9000000000000004</v>
      </c>
      <c r="S49" s="3715"/>
      <c r="T49" s="3715">
        <f>IF(F1="售价",ROUND(PRODUCT(T48,AB7:AB47),0),ROUND(PRODUCT(T48,AB7:AB47),1))</f>
        <v>4.9000000000000004</v>
      </c>
      <c r="U49" s="3715"/>
      <c r="V49" s="3715">
        <f>IF(F1="售价",ROUND(PRODUCT(V48,AC7:AC47),0),ROUND(PRODUCT(V48,AC7:AC47),1))</f>
        <v>4.8</v>
      </c>
      <c r="W49" s="3715"/>
      <c r="X49" s="397"/>
      <c r="Y49" s="397"/>
      <c r="Z49" s="397"/>
      <c r="AA49" s="397"/>
      <c r="AB49" s="397"/>
      <c r="AC49" s="578"/>
    </row>
    <row r="50" spans="1:29" ht="15.75" thickBot="1">
      <c r="A50" s="441" t="s">
        <v>1791</v>
      </c>
      <c r="B50" s="442"/>
      <c r="C50" s="1163">
        <f>R50</f>
        <v>4.9000000000000004</v>
      </c>
      <c r="D50" s="1163"/>
      <c r="E50" s="1163"/>
      <c r="F50" s="1163"/>
      <c r="G50" s="1163"/>
      <c r="H50" s="1163"/>
      <c r="I50" s="1163"/>
      <c r="J50" s="443"/>
      <c r="K50" s="715"/>
      <c r="L50" s="2723"/>
      <c r="M50" s="2715"/>
      <c r="N50" s="2715"/>
      <c r="O50" s="2715"/>
      <c r="P50" s="3757" t="str">
        <f>A50</f>
        <v>估价对象XX用房的比较价值（楼面单价，元/平方米）</v>
      </c>
      <c r="Q50" s="3758"/>
      <c r="R50" s="3759">
        <f>IF(F1="售价",ROUND(IF(D49="简单平均",AVERAGE(R49:V49),R49*F49+T49*H49+V49*J49),0),ROUND(IF(D49="简单平均",AVERAGE(R49:V49),R49*F49+T49*H49+V49*J49),1))</f>
        <v>4.9000000000000004</v>
      </c>
      <c r="S50" s="3759"/>
      <c r="T50" s="3759"/>
      <c r="U50" s="3759"/>
      <c r="V50" s="3759"/>
      <c r="W50" s="375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f>IF(E48&lt;E49,E49/E48-1,E48/E49-1)</f>
        <v>2.0408163265306145E-2</v>
      </c>
      <c r="F53" s="449" t="str">
        <f>IF(OR(E53&gt;=0.3,E53&lt;=-0.3),"超过30%","")</f>
        <v/>
      </c>
      <c r="G53" s="448">
        <f>IF(G48&lt;G49,G49/G48-1,G48/G49-1)</f>
        <v>2.0408163265306145E-2</v>
      </c>
      <c r="H53" s="449" t="str">
        <f>IF(OR(G53&gt;=0.3,G53&lt;=-0.3),"超过30%","")</f>
        <v/>
      </c>
      <c r="I53" s="448">
        <f>IF(I48&lt;I49,I49/I48-1,I48/I49-1)</f>
        <v>4.1666666666666741E-2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1709</v>
      </c>
      <c r="D54" s="450"/>
      <c r="E54" s="448">
        <f>IF(E49&lt;G49,G49/E49-1,E49/G49-1)</f>
        <v>0</v>
      </c>
      <c r="F54" s="449" t="str">
        <f>IF(OR(E54&gt;=0.2,E54&lt;=-0.2),"超过20%","")</f>
        <v/>
      </c>
      <c r="G54" s="448">
        <f>IF(G49&lt;I49,I49/G49-1,G49/I49-1)</f>
        <v>2.0833333333333481E-2</v>
      </c>
      <c r="H54" s="449" t="str">
        <f>IF(OR(G54&gt;=0.2,G54&lt;=-0.2),"超过20%","")</f>
        <v/>
      </c>
      <c r="I54" s="448">
        <f>IF(I49&lt;E49,E49/I49-1,I49/E49-1)</f>
        <v>2.0833333333333481E-2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1795</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1715</v>
      </c>
      <c r="D62" s="3461" t="s">
        <v>3402</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101</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t="s">
        <v>3436</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hidden="1"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hidden="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hidden="1"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hidden="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hidden="1"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hidden="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3466" t="s">
        <v>3433</v>
      </c>
      <c r="D87" s="3466" t="s">
        <v>3434</v>
      </c>
      <c r="E87" s="3466" t="s">
        <v>3405</v>
      </c>
      <c r="F87" s="3466" t="s">
        <v>3406</v>
      </c>
      <c r="G87" s="3466" t="s">
        <v>3407</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3" t="s">
        <v>3437</v>
      </c>
      <c r="D89" s="3463" t="s">
        <v>3438</v>
      </c>
      <c r="E89" s="3463" t="s">
        <v>3439</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hidden="1"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hidden="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hidden="1"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hidden="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hidden="1"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hidden="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hidden="1"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hidden="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1691</v>
      </c>
      <c r="B101" s="477" t="s">
        <v>1733</v>
      </c>
      <c r="C101" s="3464" t="s">
        <v>3440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1734</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463" t="s">
        <v>3441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463" t="s">
        <v>3415</v>
      </c>
      <c r="D108" s="3463" t="s">
        <v>3416</v>
      </c>
      <c r="E108" s="3463" t="s">
        <v>3417</v>
      </c>
      <c r="F108" s="3465" t="s">
        <v>3418</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463" t="s">
        <v>3449</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463" t="s">
        <v>3448</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463" t="s">
        <v>3444</v>
      </c>
      <c r="D117" s="3463" t="s">
        <v>3445</v>
      </c>
      <c r="E117" s="3463" t="s">
        <v>3446</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465" t="s">
        <v>3443</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463" t="s">
        <v>3415</v>
      </c>
      <c r="D123" s="3463" t="s">
        <v>3416</v>
      </c>
      <c r="E123" s="3463" t="s">
        <v>3417</v>
      </c>
      <c r="F123" s="3465" t="s">
        <v>3418</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3" priority="20" stopIfTrue="1" operator="containsText" text="超过">
      <formula>NOT(ISERROR(SEARCH("超过",F53)))</formula>
    </cfRule>
  </conditionalFormatting>
  <conditionalFormatting sqref="H55">
    <cfRule type="containsText" dxfId="192" priority="19" stopIfTrue="1" operator="containsText" text="超过">
      <formula>NOT(ISERROR(SEARCH("超过",H55)))</formula>
    </cfRule>
  </conditionalFormatting>
  <conditionalFormatting sqref="F55">
    <cfRule type="containsText" dxfId="191" priority="18" stopIfTrue="1" operator="containsText" text="超过">
      <formula>NOT(ISERROR(SEARCH("超过",F55)))</formula>
    </cfRule>
  </conditionalFormatting>
  <conditionalFormatting sqref="F54 H54">
    <cfRule type="containsText" dxfId="190" priority="17" stopIfTrue="1" operator="containsText" text="超过">
      <formula>NOT(ISERROR(SEARCH("超过",F54)))</formula>
    </cfRule>
  </conditionalFormatting>
  <conditionalFormatting sqref="E53">
    <cfRule type="expression" dxfId="189" priority="16" stopIfTrue="1">
      <formula>$F$53="超过30%"</formula>
    </cfRule>
  </conditionalFormatting>
  <conditionalFormatting sqref="E54">
    <cfRule type="expression" dxfId="188" priority="15" stopIfTrue="1">
      <formula>$F$54="超过20%"</formula>
    </cfRule>
  </conditionalFormatting>
  <conditionalFormatting sqref="E55">
    <cfRule type="expression" dxfId="187" priority="14" stopIfTrue="1">
      <formula>$F$55="超过30%"</formula>
    </cfRule>
  </conditionalFormatting>
  <conditionalFormatting sqref="G55">
    <cfRule type="expression" dxfId="186" priority="13" stopIfTrue="1">
      <formula>$H$55="超过30%"</formula>
    </cfRule>
  </conditionalFormatting>
  <conditionalFormatting sqref="G53">
    <cfRule type="expression" dxfId="185" priority="12" stopIfTrue="1">
      <formula>$H$53="超过30%"</formula>
    </cfRule>
  </conditionalFormatting>
  <conditionalFormatting sqref="G54">
    <cfRule type="expression" dxfId="184" priority="11" stopIfTrue="1">
      <formula>$H$54="超过20%"</formula>
    </cfRule>
  </conditionalFormatting>
  <conditionalFormatting sqref="J53">
    <cfRule type="containsText" dxfId="183" priority="10" stopIfTrue="1" operator="containsText" text="超过">
      <formula>NOT(ISERROR(SEARCH("超过",J53)))</formula>
    </cfRule>
  </conditionalFormatting>
  <conditionalFormatting sqref="J55">
    <cfRule type="containsText" dxfId="182" priority="9" stopIfTrue="1" operator="containsText" text="超过">
      <formula>NOT(ISERROR(SEARCH("超过",J55)))</formula>
    </cfRule>
  </conditionalFormatting>
  <conditionalFormatting sqref="J54">
    <cfRule type="containsText" dxfId="181" priority="8" stopIfTrue="1" operator="containsText" text="超过">
      <formula>NOT(ISERROR(SEARCH("超过",J54)))</formula>
    </cfRule>
  </conditionalFormatting>
  <conditionalFormatting sqref="I53">
    <cfRule type="expression" dxfId="180" priority="7" stopIfTrue="1">
      <formula>$J$53="超过30%"</formula>
    </cfRule>
  </conditionalFormatting>
  <conditionalFormatting sqref="I54">
    <cfRule type="expression" dxfId="179" priority="6" stopIfTrue="1">
      <formula>$J$53+$J$54="超过20%"</formula>
    </cfRule>
  </conditionalFormatting>
  <conditionalFormatting sqref="I55">
    <cfRule type="expression" dxfId="178" priority="5" stopIfTrue="1">
      <formula>$J$55="超过30%"</formula>
    </cfRule>
  </conditionalFormatting>
  <conditionalFormatting sqref="F49">
    <cfRule type="expression" dxfId="177" priority="4">
      <formula>$D$49="简单平均"</formula>
    </cfRule>
  </conditionalFormatting>
  <conditionalFormatting sqref="H49">
    <cfRule type="expression" dxfId="176" priority="3">
      <formula>$D$49="简单平均"</formula>
    </cfRule>
  </conditionalFormatting>
  <conditionalFormatting sqref="J49">
    <cfRule type="expression" dxfId="175" priority="2">
      <formula>$D$49="简单平均"</formula>
    </cfRule>
  </conditionalFormatting>
  <conditionalFormatting sqref="F7:F47 H7:H47 J7:J47">
    <cfRule type="cellIs" dxfId="174"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896</v>
      </c>
    </row>
    <row r="2" spans="1:1">
      <c r="A2" s="1478"/>
    </row>
    <row r="3" spans="1:1" ht="18">
      <c r="A3" s="1479" t="str">
        <f>项目基本情况!B5&amp;"："</f>
        <v>：</v>
      </c>
    </row>
    <row r="4" spans="1:1" ht="36">
      <c r="A4" s="1480" t="str">
        <f>"受贵公司委托，我公司对"&amp;项目基本情况!S1&amp;"进行了预评估。"</f>
        <v>受贵公司委托，我公司对北京市丰台区广安路9号院1号楼4层413房地产抵押价值进行了预评估。</v>
      </c>
    </row>
    <row r="5" spans="1:1" ht="18.75">
      <c r="A5" s="1481" t="s">
        <v>897</v>
      </c>
    </row>
    <row r="6" spans="1:1" ht="18.75">
      <c r="A6" s="1482" t="s">
        <v>898</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广安路9号院1号楼4层413房地产，为北京京华瑞税务师事务所（集团）有限公司所有。根据《国有土地使用证》[]，估价对象（分摊）出让国有建设用地使用权面积为0平方米，建筑面积为139.08平方米。</v>
      </c>
    </row>
    <row r="8" spans="1:1" ht="57.75">
      <c r="A8" s="1483" t="s">
        <v>899</v>
      </c>
    </row>
    <row r="9" spans="1:1" ht="18.75">
      <c r="A9" s="1482" t="s">
        <v>900</v>
      </c>
    </row>
    <row r="10" spans="1:1" ht="72">
      <c r="A10" s="1480" t="str">
        <f>"估价对象为"&amp;项目基本情况!S2&amp;IF(结果表413!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广安路9号院1号楼4层413房地产,属北京京华瑞税务师事务所（集团）有限公司开发建设的办公项目，该项目尚在开发建设中。根据《国有土地使用证》[]，估价对象（分摊）出让国有建设用地使用权面积为0平方米，规划建筑面积为139.08平方米。</v>
      </c>
    </row>
    <row r="11" spans="1:1" ht="76.5">
      <c r="A11" s="1483" t="s">
        <v>901</v>
      </c>
    </row>
    <row r="12" spans="1:1" ht="18.75">
      <c r="A12" s="1481" t="s">
        <v>902</v>
      </c>
    </row>
    <row r="13" spans="1:1" ht="38.25" customHeight="1">
      <c r="A13" s="1484" t="str">
        <f>IF(项目基本情况!B8="抵押",IF(项目基本情况!B5=项目基本情况!B6,定义!C51,定义!B51),定义!D51)</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903</v>
      </c>
    </row>
    <row r="15" spans="1:1" ht="18">
      <c r="A15" s="1486" t="str">
        <f>TEXT(项目基本情况!D3,"yyyy年m月d日;;")&amp;IF(项目基本情况!D3=项目基本情况!B3,"（评估专业人员实地查勘之日）","")</f>
        <v>2024年4月23日（评估专业人员实地查勘之日）</v>
      </c>
    </row>
    <row r="16" spans="1:1" ht="18.75">
      <c r="A16" s="1485" t="s">
        <v>904</v>
      </c>
    </row>
    <row r="17" spans="1:1" ht="75">
      <c r="A17" s="1480" t="s">
        <v>905</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23日，估价对象规划用途为办公，土地取得方式为出让，出让国有建设用地使用权剩余土地使用年限为36.72，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413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413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36.72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894</v>
      </c>
    </row>
    <row r="24" spans="1:1" ht="18">
      <c r="A24" s="1487" t="str">
        <f>"本次评估采用的主估价方法为"&amp;结果表413!K4&amp;"和"&amp;结果表413!L4&amp;"。"</f>
        <v>本次评估采用的主估价方法为比较法和收益法。</v>
      </c>
    </row>
    <row r="25" spans="1:1" ht="18">
      <c r="A25" s="1487"/>
    </row>
    <row r="26" spans="1:1" ht="18.75">
      <c r="A26" s="1488" t="s">
        <v>895</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O37" sqref="O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v>414</v>
      </c>
      <c r="D1" s="1747"/>
      <c r="E1" s="1747"/>
      <c r="F1" s="1749" t="s">
        <v>1260</v>
      </c>
      <c r="G1" s="1561" t="s">
        <v>3387</v>
      </c>
      <c r="H1" s="1750" t="str">
        <f>IF(G1="现房","——","估价对象范围")</f>
        <v>——</v>
      </c>
      <c r="I1" s="1751"/>
    </row>
    <row r="2" spans="1:12" ht="21.75" customHeight="1" thickBot="1">
      <c r="A2" s="3622" t="str">
        <f>项目基本情况!S2</f>
        <v>北京市丰台区广安路9号院1号楼4层413房地产</v>
      </c>
      <c r="B2" s="3623"/>
      <c r="C2" s="3623"/>
      <c r="D2" s="3623"/>
      <c r="E2" s="3623"/>
      <c r="F2" s="3623"/>
      <c r="G2" s="3623"/>
      <c r="H2" s="3623"/>
      <c r="I2" s="3624"/>
    </row>
    <row r="3" spans="1:12" ht="12.75">
      <c r="A3" s="3626" t="s">
        <v>1261</v>
      </c>
      <c r="B3" s="3627"/>
      <c r="C3" s="3627"/>
      <c r="D3" s="3627"/>
      <c r="E3" s="3627"/>
      <c r="F3" s="3627"/>
      <c r="G3" s="3627"/>
      <c r="H3" s="3627"/>
      <c r="I3" s="3627"/>
    </row>
    <row r="4" spans="1:12" ht="14.25">
      <c r="A4" s="1754" t="s">
        <v>1262</v>
      </c>
      <c r="B4" s="1755" t="s">
        <v>1263</v>
      </c>
      <c r="C4" s="1756" t="s">
        <v>3467</v>
      </c>
      <c r="D4" s="1756" t="s">
        <v>3465</v>
      </c>
      <c r="E4" s="3628" t="s">
        <v>1264</v>
      </c>
      <c r="F4" s="3629"/>
      <c r="G4" s="3629"/>
      <c r="H4" s="3629"/>
      <c r="I4" s="3630"/>
      <c r="K4" s="146" t="str">
        <f>IF(ISNUMBER(FIND("比较法",结果表414!C4)),"比较法",IF(ISNUMBER(FIND("成本法",结果表414!C4)),"成本法",IF(ISNUMBER(FIND("假设开发法",结果表414!C4)),"假设开发法",IF(ISNUMBER(FIND("收益法",结果表414!C4)),"收益法","基准地价系数修正法"))))</f>
        <v>比较法</v>
      </c>
      <c r="L4" s="146" t="str">
        <f>IF(ISNUMBER(FIND("比较法",结果表414!D4)),"比较法",IF(ISNUMBER(FIND("成本法",结果表414!D4)),"成本法",IF(ISNUMBER(FIND("假设开发法",结果表414!D4)),"假设开发法",IF(ISNUMBER(FIND("收益法",结果表414!D4)),"收益法","基准地价系数修正法"))))</f>
        <v>收益法</v>
      </c>
    </row>
    <row r="5" spans="1:12" ht="12.75">
      <c r="A5" s="3602" t="s">
        <v>1265</v>
      </c>
      <c r="B5" s="3589">
        <v>25</v>
      </c>
      <c r="C5" s="3605"/>
      <c r="D5" s="3625"/>
      <c r="E5" s="131" t="s">
        <v>1266</v>
      </c>
      <c r="F5" s="1757"/>
      <c r="G5" s="1757"/>
      <c r="H5" s="1757"/>
      <c r="I5" s="1373"/>
    </row>
    <row r="6" spans="1:12" ht="12.75">
      <c r="A6" s="3602"/>
      <c r="B6" s="3589"/>
      <c r="C6" s="3606"/>
      <c r="D6" s="3625"/>
      <c r="E6" s="131" t="s">
        <v>1267</v>
      </c>
      <c r="F6" s="1757"/>
      <c r="G6" s="1757"/>
      <c r="H6" s="1757"/>
      <c r="I6" s="1373"/>
    </row>
    <row r="7" spans="1:12" ht="12.75">
      <c r="A7" s="3602"/>
      <c r="B7" s="3589"/>
      <c r="C7" s="3607"/>
      <c r="D7" s="3625"/>
      <c r="E7" s="131" t="s">
        <v>1268</v>
      </c>
      <c r="F7" s="1757"/>
      <c r="G7" s="1757"/>
      <c r="H7" s="1757"/>
      <c r="I7" s="1373"/>
    </row>
    <row r="8" spans="1:12" ht="12.75">
      <c r="A8" s="3602" t="s">
        <v>1269</v>
      </c>
      <c r="B8" s="3589">
        <v>15</v>
      </c>
      <c r="C8" s="3605"/>
      <c r="D8" s="3625"/>
      <c r="E8" s="131" t="s">
        <v>1270</v>
      </c>
      <c r="F8" s="1757"/>
      <c r="G8" s="1757"/>
      <c r="H8" s="1757"/>
      <c r="I8" s="1373"/>
    </row>
    <row r="9" spans="1:12" ht="12.75">
      <c r="A9" s="3602"/>
      <c r="B9" s="3589"/>
      <c r="C9" s="3607"/>
      <c r="D9" s="3625"/>
      <c r="E9" s="131" t="s">
        <v>1271</v>
      </c>
      <c r="F9" s="1757"/>
      <c r="G9" s="1757"/>
      <c r="H9" s="1757"/>
      <c r="I9" s="1373"/>
    </row>
    <row r="10" spans="1:12" ht="12.75">
      <c r="A10" s="3602" t="s">
        <v>1272</v>
      </c>
      <c r="B10" s="3589">
        <v>15</v>
      </c>
      <c r="C10" s="3605"/>
      <c r="D10" s="3625"/>
      <c r="E10" s="131" t="s">
        <v>1273</v>
      </c>
      <c r="F10" s="1757"/>
      <c r="G10" s="1757"/>
      <c r="H10" s="1757"/>
      <c r="I10" s="1373"/>
    </row>
    <row r="11" spans="1:12" ht="12.75">
      <c r="A11" s="3602"/>
      <c r="B11" s="3589"/>
      <c r="C11" s="3607"/>
      <c r="D11" s="3625"/>
      <c r="E11" s="131" t="s">
        <v>1274</v>
      </c>
      <c r="F11" s="1757"/>
      <c r="G11" s="1757"/>
      <c r="H11" s="1757"/>
      <c r="I11" s="1373"/>
    </row>
    <row r="12" spans="1:12" ht="12.75">
      <c r="A12" s="3602" t="s">
        <v>1275</v>
      </c>
      <c r="B12" s="3589">
        <v>15</v>
      </c>
      <c r="C12" s="3605"/>
      <c r="D12" s="3625"/>
      <c r="E12" s="131" t="s">
        <v>1276</v>
      </c>
      <c r="F12" s="1757"/>
      <c r="G12" s="1757"/>
      <c r="H12" s="1757"/>
      <c r="I12" s="1373"/>
    </row>
    <row r="13" spans="1:12" ht="12.75">
      <c r="A13" s="3602"/>
      <c r="B13" s="3589"/>
      <c r="C13" s="3607"/>
      <c r="D13" s="3625"/>
      <c r="E13" s="131" t="s">
        <v>1277</v>
      </c>
      <c r="F13" s="1757"/>
      <c r="G13" s="1757"/>
      <c r="H13" s="1757"/>
      <c r="I13" s="1373"/>
    </row>
    <row r="14" spans="1:12" ht="12.75">
      <c r="A14" s="3602" t="s">
        <v>1278</v>
      </c>
      <c r="B14" s="3589">
        <v>30</v>
      </c>
      <c r="C14" s="3605">
        <v>7</v>
      </c>
      <c r="D14" s="3625">
        <v>3</v>
      </c>
      <c r="E14" s="131" t="s">
        <v>1279</v>
      </c>
      <c r="F14" s="1757"/>
      <c r="G14" s="1757"/>
      <c r="H14" s="1757"/>
      <c r="I14" s="1373"/>
    </row>
    <row r="15" spans="1:12" ht="12.75">
      <c r="A15" s="3602"/>
      <c r="B15" s="3589"/>
      <c r="C15" s="3606"/>
      <c r="D15" s="3625"/>
      <c r="E15" s="131" t="s">
        <v>1280</v>
      </c>
      <c r="F15" s="1757"/>
      <c r="G15" s="1757"/>
      <c r="H15" s="1757"/>
      <c r="I15" s="1373"/>
    </row>
    <row r="16" spans="1:12" ht="12.75">
      <c r="A16" s="3602"/>
      <c r="B16" s="3589"/>
      <c r="C16" s="3607"/>
      <c r="D16" s="3625"/>
      <c r="E16" s="131" t="s">
        <v>1281</v>
      </c>
      <c r="F16" s="1757"/>
      <c r="G16" s="1757"/>
      <c r="H16" s="1757"/>
      <c r="I16" s="1373"/>
    </row>
    <row r="17" spans="1:36" ht="15">
      <c r="A17" s="1758" t="s">
        <v>1282</v>
      </c>
      <c r="B17" s="56"/>
      <c r="C17" s="132">
        <f>SUM(C5:C16)</f>
        <v>7</v>
      </c>
      <c r="D17" s="132">
        <f>SUM(D5:D16)</f>
        <v>3</v>
      </c>
      <c r="E17" s="129"/>
      <c r="F17" s="129"/>
      <c r="G17" s="129"/>
      <c r="H17" s="129"/>
      <c r="I17" s="129"/>
      <c r="K17" s="302"/>
      <c r="L17" s="302" t="s">
        <v>1283</v>
      </c>
      <c r="M17" s="302" t="s">
        <v>1284</v>
      </c>
    </row>
    <row r="18" spans="1:36" ht="31.9" customHeight="1" thickBot="1">
      <c r="A18" s="1759" t="s">
        <v>1285</v>
      </c>
      <c r="B18" s="1760"/>
      <c r="C18" s="133">
        <f>ROUND(C17/SUM(C17:D17),2)</f>
        <v>0.7</v>
      </c>
      <c r="D18" s="133">
        <f>1-C18</f>
        <v>0.30000000000000004</v>
      </c>
      <c r="E18" s="3612" t="s">
        <v>2127</v>
      </c>
      <c r="F18" s="3613"/>
      <c r="G18" s="3613"/>
      <c r="H18" s="3613"/>
      <c r="I18" s="3613"/>
      <c r="K18" s="302" t="s">
        <v>1286</v>
      </c>
      <c r="L18" s="302">
        <f>IF(C1="",'数据-汇总表'!E3,SUMIF(项目类型,C1,'数据-汇总表'!E17:E26)+SUMIF(项目类型,C1,'数据-汇总表'!I17:I26))</f>
        <v>80.64</v>
      </c>
      <c r="M18" s="302">
        <f>IF(C1="",'数据-汇总表'!E3,SUMIF(项目类型,C1,'数据-汇总表'!E17:E26))</f>
        <v>80.64</v>
      </c>
    </row>
    <row r="19" spans="1:36" ht="15">
      <c r="A19" s="1761" t="s">
        <v>1287</v>
      </c>
      <c r="B19" s="1762" t="s">
        <v>1288</v>
      </c>
      <c r="C19" s="134">
        <f ca="1">SUMIF(INDIRECT("'"&amp;C4&amp;"'"&amp;"!A:A"),结果表414!B19,INDIRECT("'"&amp;C4&amp;"'"&amp;"!B:B"))</f>
        <v>317.79419999999999</v>
      </c>
      <c r="D19" s="135">
        <f ca="1">SUMIF(INDIRECT("'"&amp;D4&amp;"'"&amp;"!A:A"),结果表414!B19,INDIRECT("'"&amp;D4&amp;"'"&amp;"!B:B"))</f>
        <v>223.16909999999999</v>
      </c>
      <c r="E19" s="1761" t="s">
        <v>1289</v>
      </c>
      <c r="F19" s="1762" t="s">
        <v>1288</v>
      </c>
      <c r="G19" s="136">
        <f ca="1">ROUND(C19*$C$18+D19*$D$18,0)</f>
        <v>289</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SUMIF(INDIRECT("'"&amp;C4&amp;"'"&amp;"!A:A"),结果表414!B20,INDIRECT("'"&amp;C4&amp;"'"&amp;"!B:B"))</f>
        <v>39409</v>
      </c>
      <c r="D20" s="138">
        <f ca="1">SUMIF(INDIRECT("'"&amp;D4&amp;"'"&amp;"!A:A"),结果表414!B20,INDIRECT("'"&amp;D4&amp;"'"&amp;"!B:B"))</f>
        <v>27675</v>
      </c>
      <c r="E20" s="1764"/>
      <c r="F20" s="1026" t="s">
        <v>1292</v>
      </c>
      <c r="G20" s="139">
        <f ca="1">ROUND(C20*$C$18+D20*$D$18,0)</f>
        <v>35889</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0.42400628043936184</v>
      </c>
      <c r="E22" s="129"/>
      <c r="F22" s="129"/>
      <c r="G22" s="129"/>
      <c r="H22" s="129"/>
      <c r="I22" s="129"/>
    </row>
    <row r="23" spans="1:36" ht="13.5" thickBot="1">
      <c r="A23" s="1747"/>
      <c r="B23" s="1747"/>
      <c r="C23" s="1747"/>
      <c r="D23" s="1747"/>
      <c r="E23" s="129"/>
      <c r="F23" s="129"/>
      <c r="G23" s="129"/>
      <c r="H23" s="129"/>
      <c r="I23" s="129"/>
    </row>
    <row r="24" spans="1:36" ht="14.25">
      <c r="A24" s="3596" t="s">
        <v>1296</v>
      </c>
      <c r="B24" s="1762" t="s">
        <v>1288</v>
      </c>
      <c r="C24" s="136">
        <f>IF(B30=0,0,D30)</f>
        <v>0</v>
      </c>
      <c r="D24" s="1769"/>
      <c r="E24" s="129"/>
      <c r="F24" s="129"/>
      <c r="G24" s="129"/>
      <c r="H24" s="129"/>
      <c r="I24" s="129"/>
    </row>
    <row r="25" spans="1:36" ht="14.25">
      <c r="A25" s="3597"/>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35889</v>
      </c>
      <c r="D32" s="1775" t="s">
        <v>3455</v>
      </c>
      <c r="E32" s="129"/>
      <c r="F32" s="129"/>
      <c r="G32" s="129"/>
      <c r="H32" s="129"/>
      <c r="I32" s="129"/>
    </row>
    <row r="33" spans="1:15" ht="15">
      <c r="A33" s="786" t="s">
        <v>1303</v>
      </c>
      <c r="B33" s="1776"/>
      <c r="C33" s="1777" t="s">
        <v>3462</v>
      </c>
      <c r="D33" s="1778"/>
      <c r="E33" s="1779" t="s">
        <v>1304</v>
      </c>
      <c r="F33" s="1780" t="str">
        <f>IF(D32="楼面单价","取值（单价）","取值（总价）")</f>
        <v>取值（单价）</v>
      </c>
      <c r="G33" s="129"/>
      <c r="H33" s="129"/>
      <c r="I33" s="129"/>
    </row>
    <row r="34" spans="1:15" ht="15">
      <c r="A34" s="1781"/>
      <c r="B34" s="1782" t="s">
        <v>1305</v>
      </c>
      <c r="C34" s="148">
        <f>IF(C33="自定义",F34,C32-C35)</f>
        <v>0</v>
      </c>
      <c r="D34" s="861">
        <f ca="1">IF(C33="自定义",ROUND(C34/C32,3),IF(C33="收益比率",SUMIF(INDIRECT("'"&amp;D33&amp;"'"&amp;"!b:b"),"土地收益比率",INDIRECT("'"&amp;D33&amp;"'"&amp;"!c:c")),SUMIF(INDIRECT("'"&amp;D33&amp;"'"&amp;"!b:b"),"土地成本比率",INDIRECT("'"&amp;D33&amp;"'"&amp;"!c:c"))))</f>
        <v>0</v>
      </c>
      <c r="E34" s="1783" t="s">
        <v>1306</v>
      </c>
      <c r="F34" s="1330"/>
      <c r="G34" s="129"/>
      <c r="H34" s="129"/>
      <c r="I34" s="129"/>
    </row>
    <row r="35" spans="1:15" ht="15.75" thickBot="1">
      <c r="A35" s="1784"/>
      <c r="B35" s="1785" t="s">
        <v>1307</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1308</v>
      </c>
      <c r="F35" s="154"/>
      <c r="G35" s="129"/>
      <c r="H35" s="129"/>
      <c r="I35" s="129"/>
    </row>
    <row r="36" spans="1:15" ht="15.75" thickBot="1">
      <c r="A36" s="3616" t="s">
        <v>1309</v>
      </c>
      <c r="B36" s="1787" t="s">
        <v>1310</v>
      </c>
      <c r="C36" s="145"/>
      <c r="D36" s="1788"/>
      <c r="E36" s="1789"/>
      <c r="F36" s="1790"/>
      <c r="G36" s="129"/>
      <c r="H36" s="129"/>
      <c r="I36" s="129"/>
    </row>
    <row r="37" spans="1:15" ht="15.75" thickBot="1">
      <c r="A37" s="3617"/>
      <c r="B37" s="1674" t="s">
        <v>1311</v>
      </c>
      <c r="C37" s="147"/>
      <c r="D37" s="1139"/>
      <c r="E37" s="1139"/>
      <c r="F37" s="1790"/>
      <c r="G37" s="129"/>
      <c r="H37" s="129"/>
      <c r="I37" s="129"/>
    </row>
    <row r="38" spans="1:15" ht="15.75" thickBot="1">
      <c r="A38" s="3618"/>
      <c r="B38" s="1791" t="s">
        <v>1312</v>
      </c>
      <c r="C38" s="674"/>
      <c r="D38" s="1792" t="s">
        <v>1313</v>
      </c>
      <c r="E38" s="1139"/>
      <c r="F38" s="1790"/>
      <c r="G38" s="129"/>
      <c r="H38" s="129"/>
      <c r="I38" s="129"/>
    </row>
    <row r="39" spans="1:15" ht="15">
      <c r="A39" s="1764" t="s">
        <v>1314</v>
      </c>
      <c r="B39" s="1793" t="s">
        <v>1298</v>
      </c>
      <c r="C39" s="1794" t="s">
        <v>1299</v>
      </c>
      <c r="D39" s="1794" t="s">
        <v>1317</v>
      </c>
      <c r="E39" s="1795" t="s">
        <v>1300</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593" t="s">
        <v>1323</v>
      </c>
      <c r="B45" s="3594"/>
      <c r="C45" s="3595"/>
      <c r="D45" s="155">
        <f ca="1">ROUND(H101*F45,0)</f>
        <v>289</v>
      </c>
      <c r="E45" s="156" t="s">
        <v>1324</v>
      </c>
      <c r="F45" s="157">
        <v>1</v>
      </c>
      <c r="G45" s="158" t="s">
        <v>1325</v>
      </c>
      <c r="H45" s="129"/>
      <c r="I45" s="129"/>
      <c r="J45" s="3671" t="s">
        <v>1326</v>
      </c>
      <c r="K45" s="3671"/>
      <c r="L45" s="3671"/>
      <c r="M45" s="3671"/>
      <c r="N45" s="3671"/>
      <c r="O45" s="3671"/>
    </row>
    <row r="46" spans="1:15" ht="14.25" customHeight="1">
      <c r="A46" s="3590" t="s">
        <v>1327</v>
      </c>
      <c r="B46" s="3591"/>
      <c r="C46" s="3591"/>
      <c r="D46" s="3591"/>
      <c r="E46" s="3591"/>
      <c r="F46" s="3591"/>
      <c r="G46" s="3592"/>
      <c r="H46" s="1806"/>
      <c r="I46" s="159"/>
      <c r="J46" s="3477">
        <v>1</v>
      </c>
      <c r="K46" s="3652" t="s">
        <v>1328</v>
      </c>
      <c r="L46" s="3652"/>
      <c r="M46" s="3672"/>
      <c r="N46" s="3672"/>
      <c r="O46" s="3672"/>
    </row>
    <row r="47" spans="1:15" ht="12" customHeight="1">
      <c r="A47" s="160" t="s">
        <v>1329</v>
      </c>
      <c r="B47" s="161"/>
      <c r="C47" s="162"/>
      <c r="D47" s="1087" t="s">
        <v>1330</v>
      </c>
      <c r="E47" s="302" t="s">
        <v>1331</v>
      </c>
      <c r="F47" s="163" t="s">
        <v>1332</v>
      </c>
      <c r="G47" s="2545" t="s">
        <v>1333</v>
      </c>
      <c r="H47" s="2546"/>
      <c r="I47" s="159"/>
      <c r="J47" s="3477">
        <v>2</v>
      </c>
      <c r="K47" s="3652" t="s">
        <v>1334</v>
      </c>
      <c r="L47" s="3652"/>
      <c r="M47" s="3673">
        <f>'数据-取费表'!B2</f>
        <v>45405</v>
      </c>
      <c r="N47" s="3673"/>
      <c r="O47" s="3673"/>
    </row>
    <row r="48" spans="1:15" ht="25.5">
      <c r="A48" s="3621" t="s">
        <v>1335</v>
      </c>
      <c r="B48" s="3604"/>
      <c r="C48" s="3604"/>
      <c r="D48" s="3472">
        <f ca="1">IF(H48="情况1",0,IF(H48="情况2",D52,IF(H48="情况3",D53,IF(H48="情况4",D54))))</f>
        <v>5</v>
      </c>
      <c r="E48" s="3487" t="str">
        <f>IF(H48="情况4","(销售额-原购置价)×税（费）率","销售额×税（费）率")</f>
        <v>(销售额-原购置价)×税（费）率</v>
      </c>
      <c r="F48" s="2547">
        <f>IF(H48="情况1","免征",'数据-取费表'!B41)</f>
        <v>5.6000000000000001E-2</v>
      </c>
      <c r="G48" s="2548" t="s">
        <v>1336</v>
      </c>
      <c r="H48" s="2549" t="s">
        <v>3473</v>
      </c>
      <c r="I48" s="1806"/>
      <c r="J48" s="3477">
        <v>3</v>
      </c>
      <c r="K48" s="3652" t="s">
        <v>1337</v>
      </c>
      <c r="L48" s="3652"/>
      <c r="M48" s="3674">
        <f ca="1">H101</f>
        <v>289</v>
      </c>
      <c r="N48" s="3674"/>
      <c r="O48" s="3674"/>
    </row>
    <row r="49" spans="1:35" ht="25.5" customHeight="1">
      <c r="A49" s="3486" t="s">
        <v>1338</v>
      </c>
      <c r="B49" s="3588" t="s">
        <v>1339</v>
      </c>
      <c r="C49" s="3588"/>
      <c r="D49" s="1590">
        <v>0</v>
      </c>
      <c r="E49" s="324" t="s">
        <v>1340</v>
      </c>
      <c r="F49" s="3469" t="s">
        <v>28</v>
      </c>
      <c r="G49" s="3658"/>
      <c r="H49" s="2310" t="s">
        <v>2130</v>
      </c>
      <c r="I49" s="2311"/>
      <c r="J49" s="3477">
        <v>4</v>
      </c>
      <c r="K49" s="3652" t="str">
        <f>IF(项目基本情况!E8="房地产抵押价值","房地产抵押价值","抵押担保权已注销时的房地产抵押价值")</f>
        <v>房地产抵押价值</v>
      </c>
      <c r="L49" s="3652"/>
      <c r="M49" s="3674">
        <f ca="1">IF(项目基本情况!E8="房地产抵押价值",H107,H109)</f>
        <v>289</v>
      </c>
      <c r="N49" s="3674"/>
      <c r="O49" s="3674"/>
    </row>
    <row r="50" spans="1:35" ht="25.5" customHeight="1">
      <c r="A50" s="2550"/>
      <c r="B50" s="3588" t="s">
        <v>1341</v>
      </c>
      <c r="C50" s="3588"/>
      <c r="D50" s="2551"/>
      <c r="E50" s="332"/>
      <c r="F50" s="3469"/>
      <c r="G50" s="3659"/>
      <c r="H50" s="2312" t="s">
        <v>2131</v>
      </c>
      <c r="I50" s="2311"/>
      <c r="J50" s="3671" t="s">
        <v>1342</v>
      </c>
      <c r="K50" s="3671"/>
      <c r="L50" s="3671"/>
      <c r="M50" s="3671"/>
      <c r="N50" s="3671"/>
      <c r="O50" s="3671"/>
    </row>
    <row r="51" spans="1:35" ht="20.45" customHeight="1">
      <c r="A51" s="2552"/>
      <c r="B51" s="3588" t="s">
        <v>1343</v>
      </c>
      <c r="C51" s="3588"/>
      <c r="D51" s="1087"/>
      <c r="E51" s="327"/>
      <c r="F51" s="3469"/>
      <c r="G51" s="3660"/>
      <c r="H51" s="2312" t="s">
        <v>2132</v>
      </c>
      <c r="I51" s="2311"/>
      <c r="J51" s="3471" t="s">
        <v>1344</v>
      </c>
      <c r="K51" s="3652" t="s">
        <v>1345</v>
      </c>
      <c r="L51" s="3652"/>
      <c r="M51" s="3471" t="s">
        <v>1346</v>
      </c>
      <c r="N51" s="3471" t="s">
        <v>1347</v>
      </c>
      <c r="O51" s="3471" t="s">
        <v>1348</v>
      </c>
    </row>
    <row r="52" spans="1:35" ht="24" customHeight="1">
      <c r="A52" s="3490" t="s">
        <v>1349</v>
      </c>
      <c r="B52" s="3588" t="s">
        <v>1350</v>
      </c>
      <c r="C52" s="3588"/>
      <c r="D52" s="1087">
        <f ca="1">ROUND(D45*'数据-取费表'!B41/(1+'数据-取费表'!C42),0)</f>
        <v>15</v>
      </c>
      <c r="E52" s="3487" t="s">
        <v>1351</v>
      </c>
      <c r="F52" s="2553">
        <f>'数据-取费表'!B41</f>
        <v>5.6000000000000001E-2</v>
      </c>
      <c r="G52" s="2554"/>
      <c r="H52" s="2543"/>
      <c r="I52" s="1807"/>
      <c r="J52" s="3477">
        <v>1</v>
      </c>
      <c r="K52" s="3653" t="s">
        <v>1352</v>
      </c>
      <c r="L52" s="3653"/>
      <c r="M52" s="2524">
        <f ca="1">D48</f>
        <v>5</v>
      </c>
      <c r="N52" s="3477" t="str">
        <f>E48</f>
        <v>(销售额-原购置价)×税（费）率</v>
      </c>
      <c r="O52" s="2525">
        <f>F48</f>
        <v>5.6000000000000001E-2</v>
      </c>
    </row>
    <row r="53" spans="1:35" ht="12" customHeight="1">
      <c r="A53" s="3490" t="s">
        <v>1353</v>
      </c>
      <c r="B53" s="3614" t="s">
        <v>2287</v>
      </c>
      <c r="C53" s="3615"/>
      <c r="D53" s="1087">
        <f ca="1">ROUND(D45*'数据-取费表'!B41/(1+'数据-取费表'!C42),0)</f>
        <v>15</v>
      </c>
      <c r="E53" s="3487" t="s">
        <v>1351</v>
      </c>
      <c r="F53" s="2553">
        <f>'数据-取费表'!B41</f>
        <v>5.6000000000000001E-2</v>
      </c>
      <c r="G53" s="2554"/>
      <c r="H53" s="2543"/>
      <c r="I53" s="1807"/>
      <c r="J53" s="3477">
        <v>2</v>
      </c>
      <c r="K53" s="3653" t="s">
        <v>1354</v>
      </c>
      <c r="L53" s="3653"/>
      <c r="M53" s="2524">
        <f t="shared" ref="M53:O54" ca="1" si="0">D55</f>
        <v>0</v>
      </c>
      <c r="N53" s="3477" t="str">
        <f t="shared" si="0"/>
        <v>销售额×税（费）率</v>
      </c>
      <c r="O53" s="2525">
        <f t="shared" si="0"/>
        <v>5.0000000000000001E-4</v>
      </c>
    </row>
    <row r="54" spans="1:35" ht="12" customHeight="1">
      <c r="A54" s="3490" t="s">
        <v>1355</v>
      </c>
      <c r="B54" s="3614" t="s">
        <v>2288</v>
      </c>
      <c r="C54" s="3615"/>
      <c r="D54" s="1087">
        <f ca="1">C68</f>
        <v>5</v>
      </c>
      <c r="E54" s="327" t="s">
        <v>1356</v>
      </c>
      <c r="F54" s="2553">
        <f>'数据-取费表'!B41</f>
        <v>5.6000000000000001E-2</v>
      </c>
      <c r="G54" s="2554"/>
      <c r="H54" s="2555"/>
      <c r="I54" s="1807"/>
      <c r="J54" s="3477">
        <v>3</v>
      </c>
      <c r="K54" s="3653" t="s">
        <v>1357</v>
      </c>
      <c r="L54" s="3653"/>
      <c r="M54" s="2524">
        <f t="shared" ca="1" si="0"/>
        <v>8</v>
      </c>
      <c r="N54" s="3477" t="str">
        <f t="shared" si="0"/>
        <v>增值额×税（费）率</v>
      </c>
      <c r="O54" s="2526" t="str">
        <f t="shared" si="0"/>
        <v>——</v>
      </c>
    </row>
    <row r="55" spans="1:35" ht="24" customHeight="1">
      <c r="A55" s="3603" t="s">
        <v>1358</v>
      </c>
      <c r="B55" s="3604"/>
      <c r="C55" s="3604"/>
      <c r="D55" s="3472">
        <f ca="1">IF(H55="个人住宅",0,ROUND(D45*I55,0))</f>
        <v>0</v>
      </c>
      <c r="E55" s="3487" t="s">
        <v>1359</v>
      </c>
      <c r="F55" s="2553">
        <f>IF(H55="正常",I55,"免征")</f>
        <v>5.0000000000000001E-4</v>
      </c>
      <c r="G55" s="2554"/>
      <c r="H55" s="2549" t="s">
        <v>3400</v>
      </c>
      <c r="I55" s="165">
        <f>'数据-取费表'!B49</f>
        <v>5.0000000000000001E-4</v>
      </c>
      <c r="J55" s="3477" t="str">
        <f>IF(H59="非个人房产","",4)</f>
        <v/>
      </c>
      <c r="K55" s="3653" t="str">
        <f>IF(H59="非个人房产","——","个人所得税")</f>
        <v>——</v>
      </c>
      <c r="L55" s="3653"/>
      <c r="M55" s="2527" t="str">
        <f>D59</f>
        <v>——</v>
      </c>
      <c r="N55" s="3478" t="str">
        <f>E59</f>
        <v>——</v>
      </c>
      <c r="O55" s="2528" t="str">
        <f>F59</f>
        <v>——</v>
      </c>
    </row>
    <row r="56" spans="1:35" ht="24.75">
      <c r="A56" s="3603" t="s">
        <v>1360</v>
      </c>
      <c r="B56" s="3604"/>
      <c r="C56" s="3604"/>
      <c r="D56" s="3472">
        <f ca="1">IF(H56="个人住宅",D57,D58)</f>
        <v>8</v>
      </c>
      <c r="E56" s="3487" t="s">
        <v>1361</v>
      </c>
      <c r="F56" s="2553" t="str">
        <f>IF(H56="正常",F58,"免征")</f>
        <v>——</v>
      </c>
      <c r="G56" s="2556" t="s">
        <v>1362</v>
      </c>
      <c r="H56" s="2557" t="s">
        <v>3400</v>
      </c>
      <c r="I56" s="1808"/>
      <c r="J56" s="3477" t="str">
        <f>IF(项目基本情况!K6="上海银行",IF(J55="",4,J55+1),"")</f>
        <v/>
      </c>
      <c r="K56" s="3676" t="str">
        <f>IF(项目基本情况!K6="上海银行","其他处置费用","")</f>
        <v/>
      </c>
      <c r="L56" s="3677"/>
      <c r="M56" s="2524" t="str">
        <f>IF(项目基本情况!K6="上海银行",M69,"")</f>
        <v/>
      </c>
      <c r="N56" s="3676" t="str">
        <f>IF(项目基本情况!K6="上海银行","包含处置中涉及的律师、诉讼、拍卖、评估等费用","")</f>
        <v/>
      </c>
      <c r="O56" s="3679"/>
    </row>
    <row r="57" spans="1:35" ht="12.75">
      <c r="A57" s="3490" t="s">
        <v>1338</v>
      </c>
      <c r="B57" s="3614" t="s">
        <v>1363</v>
      </c>
      <c r="C57" s="3615"/>
      <c r="D57" s="1590">
        <v>0</v>
      </c>
      <c r="E57" s="324" t="s">
        <v>1340</v>
      </c>
      <c r="F57" s="302"/>
      <c r="G57" s="2554"/>
      <c r="H57" s="2558"/>
      <c r="I57" s="1808"/>
      <c r="J57" s="3653">
        <f>IF(AND(J55="",J56=""),4,IF(项目基本情况!K6="上海银行",结果表414!J56+1,结果表414!J55+1))</f>
        <v>4</v>
      </c>
      <c r="K57" s="3653" t="s">
        <v>1364</v>
      </c>
      <c r="L57" s="2529" t="s">
        <v>1365</v>
      </c>
      <c r="M57" s="2530"/>
      <c r="N57" s="2531">
        <f ca="1">SUMIF(M52:M56,"&lt;9e307")</f>
        <v>13</v>
      </c>
      <c r="O57" s="2532"/>
      <c r="P57" s="2689">
        <f ca="1">N57/M49</f>
        <v>4.4982698961937718E-2</v>
      </c>
    </row>
    <row r="58" spans="1:35" ht="24.75">
      <c r="A58" s="3490" t="s">
        <v>1349</v>
      </c>
      <c r="B58" s="3614" t="s">
        <v>1366</v>
      </c>
      <c r="C58" s="3588"/>
      <c r="D58" s="3472">
        <f ca="1">IF(H58="转让取得",C81,C97)</f>
        <v>8</v>
      </c>
      <c r="E58" s="3487" t="s">
        <v>1361</v>
      </c>
      <c r="F58" s="302" t="s">
        <v>28</v>
      </c>
      <c r="G58" s="2554"/>
      <c r="H58" s="2557" t="s">
        <v>3474</v>
      </c>
      <c r="I58" s="1808"/>
      <c r="J58" s="3653"/>
      <c r="K58" s="3653"/>
      <c r="L58" s="2529" t="s">
        <v>1367</v>
      </c>
      <c r="M58" s="2533"/>
      <c r="N58" s="2534" t="str">
        <f ca="1">NUMBERSTRING(INT(N57*10000),2)&amp;"元整"</f>
        <v>壹拾叁万元整</v>
      </c>
      <c r="O58" s="2535"/>
    </row>
    <row r="59" spans="1:35" ht="24.75" thickBot="1">
      <c r="A59" s="3656" t="s">
        <v>1368</v>
      </c>
      <c r="B59" s="3657"/>
      <c r="C59" s="3657"/>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1362</v>
      </c>
      <c r="H59" s="2314" t="s">
        <v>3475</v>
      </c>
      <c r="I59" s="2313" t="s">
        <v>2133</v>
      </c>
      <c r="J59" s="3654">
        <f>J57+1</f>
        <v>5</v>
      </c>
      <c r="K59" s="3653" t="s">
        <v>1369</v>
      </c>
      <c r="L59" s="3477" t="s">
        <v>1365</v>
      </c>
      <c r="M59" s="2536"/>
      <c r="N59" s="2537">
        <f ca="1">M49-N57</f>
        <v>276</v>
      </c>
      <c r="O59" s="2538"/>
    </row>
    <row r="60" spans="1:35" ht="12" customHeight="1">
      <c r="A60" s="1809"/>
      <c r="B60" s="1747"/>
      <c r="C60" s="1747"/>
      <c r="D60" s="1747"/>
      <c r="E60" s="1578"/>
      <c r="F60" s="1808"/>
      <c r="G60" s="1808"/>
      <c r="H60" s="1810"/>
      <c r="I60" s="129"/>
      <c r="J60" s="3655"/>
      <c r="K60" s="3653"/>
      <c r="L60" s="2529" t="s">
        <v>1367</v>
      </c>
      <c r="M60" s="2533"/>
      <c r="N60" s="2534" t="str">
        <f ca="1">NUMBERSTRING(INT(N59*10000),2)&amp;"元整"</f>
        <v>贰佰柒拾陆万元整</v>
      </c>
      <c r="O60" s="2535"/>
    </row>
    <row r="61" spans="1:35" ht="13.5" thickBot="1">
      <c r="A61" s="3601" t="s">
        <v>1370</v>
      </c>
      <c r="B61" s="3601"/>
      <c r="C61" s="3601"/>
      <c r="D61" s="3601"/>
      <c r="E61" s="3601"/>
      <c r="F61" s="1808"/>
      <c r="G61" s="1808"/>
      <c r="H61" s="1810"/>
      <c r="I61" s="129"/>
      <c r="J61" s="3477">
        <f>J59+1</f>
        <v>6</v>
      </c>
      <c r="K61" s="3653" t="s">
        <v>1371</v>
      </c>
      <c r="L61" s="3653"/>
      <c r="M61" s="2539"/>
      <c r="N61" s="2540">
        <f ca="1">ROUND(N59*10000/'数据-汇总表'!E3,0)</f>
        <v>19845</v>
      </c>
      <c r="O61" s="2541"/>
    </row>
    <row r="62" spans="1:35" ht="12.75">
      <c r="A62" s="3619" t="s">
        <v>1372</v>
      </c>
      <c r="B62" s="3620"/>
      <c r="C62" s="3482"/>
      <c r="D62" s="3482" t="s">
        <v>1373</v>
      </c>
      <c r="E62" s="166" t="s">
        <v>1374</v>
      </c>
      <c r="F62" s="1808"/>
      <c r="G62" s="1808"/>
      <c r="H62" s="1810"/>
      <c r="I62" s="129"/>
    </row>
    <row r="63" spans="1:35" ht="12.75">
      <c r="A63" s="173" t="s">
        <v>330</v>
      </c>
      <c r="B63" s="167" t="s">
        <v>1375</v>
      </c>
      <c r="C63" s="2563">
        <f ca="1">ROUND((C64+C65)/(1+'数据-取费表'!C42),0)</f>
        <v>275</v>
      </c>
      <c r="D63" s="167"/>
      <c r="E63" s="168"/>
      <c r="F63" s="1808"/>
      <c r="G63" s="1808"/>
      <c r="H63" s="1810"/>
      <c r="I63" s="129"/>
      <c r="J63" s="3678" t="s">
        <v>1376</v>
      </c>
      <c r="K63" s="3473" t="s">
        <v>1377</v>
      </c>
      <c r="L63" s="3473">
        <f ca="1">IF(M49&gt;10000,M49*0.5%,IF(AND(M49&gt;1000,M49&lt;=10000),M49*1%,IF(AND(M49&gt;100,M49&lt;=1000),M49*3%,IF(AND(M49&gt;10,M49&lt;=100),M49*5%,M49*8%))))</f>
        <v>8.67</v>
      </c>
      <c r="M63" s="302">
        <f ca="1">ROUND(L63,1)</f>
        <v>8.6999999999999993</v>
      </c>
      <c r="N63" s="2542"/>
      <c r="Z63" s="1752"/>
      <c r="AI63" s="1753"/>
    </row>
    <row r="64" spans="1:35" ht="14.25" customHeight="1">
      <c r="A64" s="169" t="s">
        <v>325</v>
      </c>
      <c r="B64" s="170" t="s">
        <v>1378</v>
      </c>
      <c r="C64" s="2564">
        <f ca="1">D45</f>
        <v>289</v>
      </c>
      <c r="D64" s="170" t="s">
        <v>26</v>
      </c>
      <c r="E64" s="172"/>
      <c r="F64" s="1808"/>
      <c r="G64" s="1808"/>
      <c r="H64" s="1810"/>
      <c r="I64" s="129"/>
      <c r="J64" s="3678"/>
      <c r="K64" s="3473" t="s">
        <v>1379</v>
      </c>
      <c r="L64" s="3473">
        <f ca="1">IF(M49&gt;2000,M49*0.5%,IF(AND(M49&gt;1000,M49&lt;=2000),M49*0.6%,IF(AND(M49&gt;500,M49&lt;=1000),M49*0.7%,IF(AND(M49&gt;200,M49&lt;=500),M49*0.8%,IF(AND(M49&gt;100,M49&lt;=200),M49*0.9%,IF(AND(M49&gt;50,M49&lt;=100),M49*1%,IF(AND(M49&gt;20,M49&lt;=50),M49*1.5%,IF(AND(M49&gt;10,M49&lt;=20),M49*2%,IF(AND(M49&gt;1,M49&lt;=10),M49*2.5%)))))))))</f>
        <v>2.3119999999999998</v>
      </c>
      <c r="M64" s="302">
        <f t="shared" ref="M64:M65" ca="1" si="1">ROUND(L64,1)</f>
        <v>2.2999999999999998</v>
      </c>
      <c r="N64" s="2543" t="s">
        <v>1380</v>
      </c>
      <c r="Z64" s="1752"/>
      <c r="AI64" s="1753"/>
    </row>
    <row r="65" spans="1:35" ht="14.25" customHeight="1">
      <c r="A65" s="169" t="s">
        <v>326</v>
      </c>
      <c r="B65" s="170" t="s">
        <v>1381</v>
      </c>
      <c r="C65" s="2565"/>
      <c r="D65" s="170"/>
      <c r="E65" s="172"/>
      <c r="F65" s="1808"/>
      <c r="G65" s="1808"/>
      <c r="H65" s="1810"/>
      <c r="I65" s="129"/>
      <c r="J65" s="3678"/>
      <c r="K65" s="3473" t="s">
        <v>1382</v>
      </c>
      <c r="L65" s="3473">
        <f ca="1">IF(M49&gt;1000,M49*0.1%,IF(AND(M49&gt;500,M49&lt;=1000),M49*0.5%,IF(AND(M49&gt;50,M49&lt;=500),M49*1%,IF(AND(M49&gt;1,M49&lt;=50),M49*1.5%))))</f>
        <v>2.89</v>
      </c>
      <c r="M65" s="302">
        <f t="shared" ca="1" si="1"/>
        <v>2.9</v>
      </c>
      <c r="N65" s="2543" t="s">
        <v>1380</v>
      </c>
      <c r="Z65" s="1752"/>
      <c r="AI65" s="1753"/>
    </row>
    <row r="66" spans="1:35" ht="14.25" customHeight="1">
      <c r="A66" s="173" t="s">
        <v>327</v>
      </c>
      <c r="B66" s="174" t="s">
        <v>1383</v>
      </c>
      <c r="C66" s="2566">
        <f>C75/1.05</f>
        <v>192</v>
      </c>
      <c r="D66" s="174" t="s">
        <v>26</v>
      </c>
      <c r="E66" s="1338" t="s">
        <v>669</v>
      </c>
      <c r="F66" s="1808"/>
      <c r="G66" s="1808"/>
      <c r="H66" s="1810"/>
      <c r="I66" s="129"/>
      <c r="J66" s="3678"/>
      <c r="K66" s="3473" t="s">
        <v>1384</v>
      </c>
      <c r="L66" s="3473">
        <f ca="1">M49*0.5%</f>
        <v>1.4450000000000001</v>
      </c>
      <c r="M66" s="302">
        <f ca="1">IF(L66&gt;0.5,0.5,ROUND(L66,0))</f>
        <v>0.5</v>
      </c>
      <c r="N66" s="2543" t="s">
        <v>1385</v>
      </c>
      <c r="Z66" s="1752"/>
      <c r="AI66" s="1753"/>
    </row>
    <row r="67" spans="1:35" ht="14.25" customHeight="1">
      <c r="A67" s="173" t="s">
        <v>328</v>
      </c>
      <c r="B67" s="174" t="s">
        <v>1386</v>
      </c>
      <c r="C67" s="2567">
        <f ca="1">C63-C66</f>
        <v>83</v>
      </c>
      <c r="D67" s="170" t="s">
        <v>26</v>
      </c>
      <c r="E67" s="172"/>
      <c r="F67" s="1808"/>
      <c r="G67" s="1808"/>
      <c r="H67" s="1810"/>
      <c r="I67" s="129"/>
      <c r="J67" s="3678"/>
      <c r="K67" s="3473" t="s">
        <v>1387</v>
      </c>
      <c r="L67" s="3473">
        <f ca="1">IF(M49&gt;=10000,(8.25+(M49-10000)*0.01%),IF(AND(M49&gt;=8000,M49&lt;10000),(7.85+(M49-8000)*0.02%),IF(AND(M49&gt;=5000,M49&lt;8000),(6.65+(M49-5000)*0.04%),IF(AND(M49&gt;=2000,M49&lt;5000),(4.25+(PM49-2000)*0.08%),IF(AND(M49&gt;=1000,M49&lt;2000),(2.75+(M49-1000)*0.15%),IF(AND(M49&gt;=100,M49&lt;1000),(0.5+(M49-100)*0.25%),IF(AND(M49&gt;0,M49&lt;100),M49*0.5%)))))))</f>
        <v>0.97250000000000003</v>
      </c>
      <c r="M67" s="302">
        <f ca="1">ROUND(L67*0.9,1)</f>
        <v>0.9</v>
      </c>
      <c r="N67" s="2542"/>
      <c r="Z67" s="1752"/>
      <c r="AI67" s="1753"/>
    </row>
    <row r="68" spans="1:35" ht="14.25" customHeight="1" thickBot="1">
      <c r="A68" s="176" t="s">
        <v>329</v>
      </c>
      <c r="B68" s="177" t="s">
        <v>1388</v>
      </c>
      <c r="C68" s="2568">
        <f ca="1">IF(C67&lt;=0,0,ROUND(C67*D68,0))</f>
        <v>5</v>
      </c>
      <c r="D68" s="2569">
        <f>'数据-取费表'!B41</f>
        <v>5.6000000000000001E-2</v>
      </c>
      <c r="E68" s="178"/>
      <c r="F68" s="1808"/>
      <c r="G68" s="1808"/>
      <c r="H68" s="1810"/>
      <c r="I68" s="129"/>
      <c r="J68" s="3678"/>
      <c r="K68" s="3473" t="s">
        <v>1389</v>
      </c>
      <c r="L68" s="3473">
        <f ca="1">IF(M49&gt;10000,M49*0.5%,IF(AND(M49&gt;5000,M49&lt;=10000),M49*1%,IF(AND(M49&gt;1000,M49&lt;=5000),M49*2%,IF(AND(M49&gt;200,M49&lt;=1000),M49*3%,M49*5%))))</f>
        <v>8.67</v>
      </c>
      <c r="M68" s="302">
        <f ca="1">ROUND(L68,1)</f>
        <v>8.6999999999999993</v>
      </c>
      <c r="N68" s="2542"/>
      <c r="Z68" s="1752"/>
      <c r="AI68" s="1753"/>
    </row>
    <row r="69" spans="1:35" s="1772" customFormat="1" ht="16.5" customHeight="1">
      <c r="A69" s="1811"/>
      <c r="B69" s="1812"/>
      <c r="C69" s="1813"/>
      <c r="D69" s="1814"/>
      <c r="E69" s="1815"/>
      <c r="F69" s="1578"/>
      <c r="G69" s="1578"/>
      <c r="H69" s="1577"/>
      <c r="I69" s="1747"/>
      <c r="J69" s="3678"/>
      <c r="K69" s="3473" t="s">
        <v>1390</v>
      </c>
      <c r="L69" s="3473"/>
      <c r="M69" s="302">
        <f ca="1">ROUND(SUM(M63:M68),0)</f>
        <v>24</v>
      </c>
      <c r="N69" s="2544">
        <f ca="1">M69/M49</f>
        <v>8.3044982698961933E-2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40" t="s">
        <v>1391</v>
      </c>
      <c r="B70" s="3641"/>
      <c r="C70" s="3641"/>
      <c r="D70" s="3641"/>
      <c r="E70" s="3641"/>
      <c r="F70" s="3641"/>
      <c r="G70" s="3641"/>
      <c r="H70" s="364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9" t="s">
        <v>1372</v>
      </c>
      <c r="B71" s="3620"/>
      <c r="C71" s="3482"/>
      <c r="D71" s="3482" t="s">
        <v>1373</v>
      </c>
      <c r="E71" s="179" t="s">
        <v>1374</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7">
        <f ca="1">ROUND(D45/(1+'数据-取费表'!C42),0)</f>
        <v>275</v>
      </c>
      <c r="D72" s="170" t="s">
        <v>26</v>
      </c>
      <c r="E72" s="3484"/>
      <c r="F72" s="3483"/>
      <c r="G72" s="3483"/>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7">
        <f ca="1">C74+C78</f>
        <v>250</v>
      </c>
      <c r="D73" s="170" t="s">
        <v>26</v>
      </c>
      <c r="E73" s="3484"/>
      <c r="F73" s="3483"/>
      <c r="G73" s="3483"/>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248</v>
      </c>
      <c r="D74" s="170" t="s">
        <v>26</v>
      </c>
      <c r="E74" s="3484"/>
      <c r="F74" s="3483"/>
      <c r="G74" s="3483"/>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0">
        <f>201.6</f>
        <v>201.6</v>
      </c>
      <c r="D75" s="170" t="s">
        <v>26</v>
      </c>
      <c r="E75" s="184" t="s">
        <v>1396</v>
      </c>
      <c r="F75" s="2571" t="s">
        <v>3478</v>
      </c>
      <c r="G75" s="184" t="s">
        <v>1397</v>
      </c>
      <c r="H75" s="2572">
        <f>2024-2019</f>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50</v>
      </c>
      <c r="D76" s="2573">
        <v>0.05</v>
      </c>
      <c r="E76" s="3614" t="s">
        <v>1399</v>
      </c>
      <c r="F76" s="3588"/>
      <c r="G76" s="3588"/>
      <c r="H76" s="363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6</v>
      </c>
      <c r="D77" s="2574">
        <f>'数据-取费表'!B48+'数据-取费表'!B49</f>
        <v>3.0499999999999999E-2</v>
      </c>
      <c r="E77" s="3472" t="s">
        <v>1401</v>
      </c>
      <c r="F77" s="186"/>
      <c r="G77" s="1822" t="s">
        <v>3477</v>
      </c>
      <c r="H77" s="3485"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5">
        <f ca="1">ROUND(D45*D78/(1+'数据-取费表'!C42),0)</f>
        <v>2</v>
      </c>
      <c r="D78" s="2576">
        <f>'数据-取费表'!B43</f>
        <v>6.000000000000001E-3</v>
      </c>
      <c r="E78" s="3598" t="s">
        <v>1403</v>
      </c>
      <c r="F78" s="3599"/>
      <c r="G78" s="3599"/>
      <c r="H78" s="360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1404</v>
      </c>
      <c r="C79" s="2567">
        <f ca="1">C72-C73</f>
        <v>25</v>
      </c>
      <c r="D79" s="170" t="s">
        <v>26</v>
      </c>
      <c r="E79" s="3484"/>
      <c r="F79" s="3483"/>
      <c r="G79" s="3483"/>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7">
        <f ca="1">IF(C79&lt;=0,0,C79/C73)</f>
        <v>0.1</v>
      </c>
      <c r="D80" s="170" t="s">
        <v>26</v>
      </c>
      <c r="E80" s="3472" t="str">
        <f ca="1">IF(C80&gt;=200%,"增值额超过扣除项目金额200%",IF(C80&gt;=100%,"增值额超过扣除项目金额100%，未超过200%",IF(C80&gt;=50%,"增值额超过扣除项目金额50%，未超过100%",IF(C80&lt;50%,"增值额未超过扣除项目金额50%"))))</f>
        <v>增值额未超过扣除项目金额50%</v>
      </c>
      <c r="F80" s="3483"/>
      <c r="G80" s="3483"/>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8">
        <f ca="1">ROUND(IF(C79&lt;=0,0,IF(C80&gt;=200%,C79*60%-C73*35%,IF(C80&gt;=100%,C79*50%-C73*15%,IF(C80&gt;=50%,C79*40%-C73*5%,IF(C80&lt;50%,C79*30%,0))))),0)</f>
        <v>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0" t="s">
        <v>1407</v>
      </c>
      <c r="B83" s="3641"/>
      <c r="C83" s="3641"/>
      <c r="D83" s="3641"/>
      <c r="E83" s="3641"/>
      <c r="F83" s="3641"/>
      <c r="G83" s="3641"/>
      <c r="H83" s="364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9" t="s">
        <v>1372</v>
      </c>
      <c r="B84" s="3620"/>
      <c r="C84" s="3482"/>
      <c r="D84" s="3482"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7">
        <f ca="1">ROUND(D45/(1+'数据-取费表'!C42),0)</f>
        <v>275</v>
      </c>
      <c r="D85" s="170" t="s">
        <v>26</v>
      </c>
      <c r="E85" s="3484"/>
      <c r="F85" s="3483"/>
      <c r="G85" s="3483"/>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7">
        <f ca="1">IF(H88="仅含出让金",C87+C90+C91+C92+C93+C94,C87+C91+C92+C93+C94)</f>
        <v>2</v>
      </c>
      <c r="D86" s="2580"/>
      <c r="E86" s="3484"/>
      <c r="F86" s="3483"/>
      <c r="G86" s="3483"/>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5">
        <f>C88+C89</f>
        <v>0</v>
      </c>
      <c r="D87" s="2576"/>
      <c r="E87" s="3479"/>
      <c r="F87" s="3480"/>
      <c r="G87" s="3480"/>
      <c r="H87" s="3481"/>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1"/>
      <c r="D88" s="2576"/>
      <c r="E88" s="193" t="s">
        <v>1410</v>
      </c>
      <c r="F88" s="3480"/>
      <c r="G88" s="194" t="s">
        <v>1411</v>
      </c>
      <c r="H88" s="1824"/>
      <c r="I88" s="1821"/>
      <c r="J88" s="2520"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5">
        <f>ROUND(C88*D89,0)</f>
        <v>0</v>
      </c>
      <c r="D89" s="2576">
        <f>'数据-取费表'!B48+'数据-取费表'!B49</f>
        <v>3.0499999999999999E-2</v>
      </c>
      <c r="E89" s="193" t="s">
        <v>1412</v>
      </c>
      <c r="F89" s="3480"/>
      <c r="G89" s="3480"/>
      <c r="H89" s="3481"/>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1"/>
      <c r="D90" s="2576"/>
      <c r="E90" s="193" t="str">
        <f>IF(H88="-","土地取得成本中已包含该笔费用"," ")</f>
        <v xml:space="preserve"> </v>
      </c>
      <c r="F90" s="3480"/>
      <c r="G90" s="3680" t="s">
        <v>2125</v>
      </c>
      <c r="H90" s="3681"/>
      <c r="I90" s="1821"/>
      <c r="J90" s="2520"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5">
        <f>IF(H91="——",成本法!C33,I91)</f>
        <v>0</v>
      </c>
      <c r="D91" s="2576"/>
      <c r="E91" s="3598" t="s">
        <v>1416</v>
      </c>
      <c r="F91" s="3599"/>
      <c r="G91" s="359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5">
        <f>ROUND((C87+C90+C91)*D92,0)</f>
        <v>0</v>
      </c>
      <c r="D92" s="2582"/>
      <c r="E92" s="3598" t="s">
        <v>1419</v>
      </c>
      <c r="F92" s="3599"/>
      <c r="G92" s="3599"/>
      <c r="H92" s="3608"/>
      <c r="I92" s="1821"/>
      <c r="J92" s="2521"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5">
        <f ca="1">ROUND(D45*D93/(1+'数据-取费表'!C42),0)</f>
        <v>2</v>
      </c>
      <c r="D93" s="2576">
        <f>'数据-取费表'!B43</f>
        <v>6.000000000000001E-3</v>
      </c>
      <c r="E93" s="3598" t="s">
        <v>1403</v>
      </c>
      <c r="F93" s="3599"/>
      <c r="G93" s="3599"/>
      <c r="H93" s="360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1">
        <f>ROUND((C87+C90+C91)*D94,0)</f>
        <v>0</v>
      </c>
      <c r="D94" s="2576">
        <v>0.2</v>
      </c>
      <c r="E94" s="3609" t="s">
        <v>1423</v>
      </c>
      <c r="F94" s="3610"/>
      <c r="G94" s="3610"/>
      <c r="H94" s="361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1404</v>
      </c>
      <c r="C95" s="2567">
        <f ca="1">ROUND(C85-C86,0)</f>
        <v>273</v>
      </c>
      <c r="D95" s="170" t="s">
        <v>26</v>
      </c>
      <c r="E95" s="3484"/>
      <c r="F95" s="3483"/>
      <c r="G95" s="3483"/>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7">
        <f ca="1">IF(C95&lt;=0,0,C95/C86)</f>
        <v>136.5</v>
      </c>
      <c r="D96" s="170" t="s">
        <v>26</v>
      </c>
      <c r="E96" s="3472" t="str">
        <f ca="1">IF(C96&gt;=200%,"增值额超过扣除项目金额200%",IF(C96&gt;=100%,"增值额超过扣除项目金额100%，未超过200%",IF(C96&gt;=50%,"增值额超过扣除项目金额50%，未超过100%",IF(C96&lt;50%,"增值额未超过扣除项目金额50%"))))</f>
        <v>增值额超过扣除项目金额200%</v>
      </c>
      <c r="F96" s="3483"/>
      <c r="G96" s="3483"/>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8">
        <f ca="1">ROUND(IF(C95&lt;=0,0,IF(C96&gt;=200%,C95*60%-C86*35%,IF(C96&gt;=100%,C95*50%-C86*15%,IF(C96&gt;=50%,C95*40%-C86*5%,IF(C96&lt;50%,C95*30%,0))))),0)</f>
        <v>163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82" t="s">
        <v>1425</v>
      </c>
      <c r="B100" s="3583"/>
      <c r="C100" s="3583"/>
      <c r="D100" s="3600"/>
      <c r="E100" s="3583" t="s">
        <v>1426</v>
      </c>
      <c r="F100" s="3583"/>
      <c r="G100" s="3583"/>
      <c r="H100" s="3600"/>
      <c r="I100" s="129"/>
    </row>
    <row r="101" spans="1:35" ht="18.75" customHeight="1">
      <c r="A101" s="3661" t="s">
        <v>1427</v>
      </c>
      <c r="B101" s="3662"/>
      <c r="C101" s="2584" t="str">
        <f>C4</f>
        <v>比较法-办公售价414</v>
      </c>
      <c r="D101" s="2585" t="str">
        <f>D4</f>
        <v>收益法 (元)414</v>
      </c>
      <c r="E101" s="3675" t="s">
        <v>1428</v>
      </c>
      <c r="F101" s="3632"/>
      <c r="G101" s="1827" t="s">
        <v>1429</v>
      </c>
      <c r="H101" s="2594">
        <f ca="1">H118</f>
        <v>289</v>
      </c>
      <c r="I101" s="129"/>
    </row>
    <row r="102" spans="1:35" ht="18.75" customHeight="1">
      <c r="A102" s="3634" t="s">
        <v>1430</v>
      </c>
      <c r="B102" s="2583" t="s">
        <v>1429</v>
      </c>
      <c r="C102" s="2584">
        <f ca="1">IF(D32="楼面单价",ROUND(C19,0),C19)</f>
        <v>318</v>
      </c>
      <c r="D102" s="2585">
        <f ca="1">IF(D32="楼面单价",ROUND(D19,0),D19)</f>
        <v>223</v>
      </c>
      <c r="E102" s="3675"/>
      <c r="F102" s="3632"/>
      <c r="G102" s="1827" t="s">
        <v>1431</v>
      </c>
      <c r="H102" s="2554">
        <f ca="1">I118</f>
        <v>35889</v>
      </c>
      <c r="I102" s="129"/>
    </row>
    <row r="103" spans="1:35" ht="42.75" customHeight="1">
      <c r="A103" s="3634"/>
      <c r="B103" s="2583" t="s">
        <v>1431</v>
      </c>
      <c r="C103" s="2586">
        <f ca="1">C20</f>
        <v>39409</v>
      </c>
      <c r="D103" s="2587">
        <f ca="1">D20</f>
        <v>27675</v>
      </c>
      <c r="E103" s="3669" t="s">
        <v>1432</v>
      </c>
      <c r="F103" s="3670"/>
      <c r="G103" s="1828" t="s">
        <v>1433</v>
      </c>
      <c r="H103" s="2594">
        <f>IF(D36="正常操作",H104+H105+H106,H105+H106)</f>
        <v>0</v>
      </c>
      <c r="I103" s="129"/>
    </row>
    <row r="104" spans="1:35" ht="18.75" customHeight="1">
      <c r="A104" s="3634" t="s">
        <v>1434</v>
      </c>
      <c r="B104" s="2588" t="s">
        <v>1429</v>
      </c>
      <c r="C104" s="2589">
        <f ca="1">H118</f>
        <v>289</v>
      </c>
      <c r="D104" s="2590"/>
      <c r="E104" s="1674" t="s">
        <v>1435</v>
      </c>
      <c r="F104" s="1666"/>
      <c r="G104" s="1828" t="s">
        <v>1433</v>
      </c>
      <c r="H104" s="2595">
        <f>IF(D36="同一抵押权人同一抵押物续贷",C36&amp;"（续贷，未扣减，详见特别提示）",C36)</f>
        <v>0</v>
      </c>
      <c r="I104" s="129"/>
    </row>
    <row r="105" spans="1:35" ht="18.75" customHeight="1" thickBot="1">
      <c r="A105" s="3635"/>
      <c r="B105" s="2591" t="s">
        <v>1431</v>
      </c>
      <c r="C105" s="2592">
        <f ca="1">I118</f>
        <v>35889</v>
      </c>
      <c r="D105" s="2593"/>
      <c r="E105" s="1674" t="s">
        <v>1436</v>
      </c>
      <c r="F105" s="1666"/>
      <c r="G105" s="1828" t="s">
        <v>1433</v>
      </c>
      <c r="H105" s="2596">
        <f>C37</f>
        <v>0</v>
      </c>
      <c r="I105" s="129"/>
    </row>
    <row r="106" spans="1:35" ht="18.75" customHeight="1">
      <c r="A106" s="1747" t="s">
        <v>1437</v>
      </c>
      <c r="B106" s="1747"/>
      <c r="C106" s="1747"/>
      <c r="D106" s="1747"/>
      <c r="E106" s="1829" t="s">
        <v>1438</v>
      </c>
      <c r="F106" s="1666"/>
      <c r="G106" s="1828" t="s">
        <v>1433</v>
      </c>
      <c r="H106" s="2596">
        <f>C38</f>
        <v>0</v>
      </c>
      <c r="I106" s="129"/>
    </row>
    <row r="107" spans="1:35" ht="18.75" customHeight="1">
      <c r="A107" s="129"/>
      <c r="B107" s="129"/>
      <c r="C107" s="129"/>
      <c r="D107" s="129"/>
      <c r="E107" s="3631" t="str">
        <f>IF(项目基本情况!E8="已注销","——","3.房地产抵押价值")</f>
        <v>3.房地产抵押价值</v>
      </c>
      <c r="F107" s="3632"/>
      <c r="G107" s="1827" t="s">
        <v>1429</v>
      </c>
      <c r="H107" s="2594">
        <f ca="1">IF(E107="——","——",H101-H103)</f>
        <v>289</v>
      </c>
      <c r="I107" s="129"/>
    </row>
    <row r="108" spans="1:35" ht="18.75" customHeight="1">
      <c r="A108" s="129"/>
      <c r="B108" s="129"/>
      <c r="C108" s="129"/>
      <c r="D108" s="129"/>
      <c r="E108" s="3631"/>
      <c r="F108" s="3632"/>
      <c r="G108" s="1827" t="s">
        <v>1431</v>
      </c>
      <c r="H108" s="2554">
        <f ca="1">IF(H107=H101,H102,ROUND(H107*10000/'数据-汇总表'!E3,0))</f>
        <v>35889</v>
      </c>
      <c r="I108" s="129"/>
    </row>
    <row r="109" spans="1:35" ht="18.75" customHeight="1">
      <c r="A109" s="129"/>
      <c r="B109" s="129"/>
      <c r="C109" s="129"/>
      <c r="D109" s="129"/>
      <c r="E109" s="3631" t="str">
        <f>IF(项目基本情况!E8="已注销及未注销","4.抵押担保权已注销时的房地产抵押价值",IF(项目基本情况!E8="已注销","3.抵押担保权已注销时的房地产抵押价值","——"))</f>
        <v>——</v>
      </c>
      <c r="F109" s="3632"/>
      <c r="G109" s="1827" t="s">
        <v>1429</v>
      </c>
      <c r="H109" s="2597" t="str">
        <f>IF(E109="——","——",H101-H105-H106)</f>
        <v>——</v>
      </c>
      <c r="I109" s="129"/>
    </row>
    <row r="110" spans="1:35" ht="18.75" customHeight="1">
      <c r="A110" s="129"/>
      <c r="B110" s="129"/>
      <c r="C110" s="129"/>
      <c r="D110" s="129"/>
      <c r="E110" s="3631"/>
      <c r="F110" s="3632"/>
      <c r="G110" s="1827" t="s">
        <v>1431</v>
      </c>
      <c r="H110" s="2554" t="str">
        <f>IF(H109="——","——",ROUND(H109*10000/'数据-汇总表'!E3,0))</f>
        <v>——</v>
      </c>
      <c r="I110" s="129"/>
    </row>
    <row r="111" spans="1:35" ht="18.75" customHeight="1">
      <c r="A111" s="129"/>
      <c r="B111" s="129"/>
      <c r="C111" s="129"/>
      <c r="D111" s="129"/>
      <c r="E111" s="3663" t="str">
        <f>IF(项目基本情况!E9="抵押净值",IF(OR(项目基本情况!E8="已注销",项目基本情况!E8="房地产抵押价值"),"4.抵押净值","5.抵押净值"),"——")</f>
        <v>4.抵押净值</v>
      </c>
      <c r="F111" s="3633"/>
      <c r="G111" s="1827" t="s">
        <v>1429</v>
      </c>
      <c r="H111" s="2594">
        <f ca="1">IF(E111="——","——",N59)</f>
        <v>276</v>
      </c>
      <c r="I111" s="129"/>
    </row>
    <row r="112" spans="1:35" ht="18.75" customHeight="1" thickBot="1">
      <c r="A112" s="129"/>
      <c r="B112" s="129"/>
      <c r="C112" s="129"/>
      <c r="D112" s="129"/>
      <c r="E112" s="3664"/>
      <c r="F112" s="3665"/>
      <c r="G112" s="1830" t="s">
        <v>1431</v>
      </c>
      <c r="H112" s="2598">
        <f ca="1">IF(E111="——","——",N61)</f>
        <v>19845</v>
      </c>
      <c r="I112" s="129"/>
    </row>
    <row r="113" spans="1:27" ht="18.75" customHeight="1">
      <c r="A113" s="129"/>
      <c r="B113" s="129"/>
      <c r="C113" s="129"/>
      <c r="D113" s="129"/>
      <c r="E113" s="3636" t="s">
        <v>1437</v>
      </c>
      <c r="F113" s="3636"/>
      <c r="G113" s="3636"/>
      <c r="H113" s="3636"/>
      <c r="I113" s="129"/>
    </row>
    <row r="114" spans="1:27" ht="3.75" customHeight="1">
      <c r="A114" s="1747"/>
      <c r="B114" s="1747"/>
      <c r="C114" s="1747"/>
      <c r="D114" s="1747"/>
      <c r="E114" s="1809"/>
      <c r="F114" s="1809"/>
      <c r="G114" s="1809"/>
      <c r="H114" s="1809"/>
      <c r="I114" s="1747"/>
    </row>
    <row r="115" spans="1:27" ht="18.75" customHeight="1">
      <c r="A115" s="3646" t="s">
        <v>1439</v>
      </c>
      <c r="B115" s="3647"/>
      <c r="C115" s="3647"/>
      <c r="D115" s="3647"/>
      <c r="E115" s="3647"/>
      <c r="F115" s="3647"/>
      <c r="G115" s="3647"/>
      <c r="H115" s="3647"/>
      <c r="I115" s="3648"/>
    </row>
    <row r="116" spans="1:27" ht="27" customHeight="1">
      <c r="A116" s="3602" t="s">
        <v>1440</v>
      </c>
      <c r="B116" s="3637" t="s">
        <v>1441</v>
      </c>
      <c r="C116" s="3637" t="s">
        <v>1442</v>
      </c>
      <c r="D116" s="3650" t="s">
        <v>1443</v>
      </c>
      <c r="E116" s="3651"/>
      <c r="F116" s="3645" t="s">
        <v>1444</v>
      </c>
      <c r="G116" s="3645"/>
      <c r="H116" s="3602" t="s">
        <v>1445</v>
      </c>
      <c r="I116" s="3602"/>
    </row>
    <row r="117" spans="1:27" ht="18.75" customHeight="1">
      <c r="A117" s="3602"/>
      <c r="B117" s="3638"/>
      <c r="C117" s="3638"/>
      <c r="D117" s="3475" t="s">
        <v>1446</v>
      </c>
      <c r="E117" s="3475" t="s">
        <v>1447</v>
      </c>
      <c r="F117" s="3475" t="s">
        <v>1446</v>
      </c>
      <c r="G117" s="3475" t="s">
        <v>1448</v>
      </c>
      <c r="H117" s="3475" t="s">
        <v>1446</v>
      </c>
      <c r="I117" s="3475" t="s">
        <v>1448</v>
      </c>
    </row>
    <row r="118" spans="1:27" ht="24.75" customHeight="1">
      <c r="A118" s="2599" t="str">
        <f>项目基本情况!S2</f>
        <v>北京市丰台区广安路9号院1号楼4层413房地产</v>
      </c>
      <c r="B118" s="3475">
        <f>M18</f>
        <v>80.64</v>
      </c>
      <c r="C118" s="3475">
        <f>M19</f>
        <v>0</v>
      </c>
      <c r="D118" s="3475">
        <f>ROUND(IF(D32="总价",C34,E118*B118/10000),0)</f>
        <v>0</v>
      </c>
      <c r="E118" s="3475">
        <f>ROUND(IF(C33="自定义",IF(D32="楼面单价",C34,D118*10000/B118),I118-G118),0)</f>
        <v>0</v>
      </c>
      <c r="F118" s="3475">
        <f>ROUND(IF(D32="总价",C35,G118*B118/10000),0)</f>
        <v>0</v>
      </c>
      <c r="G118" s="3475">
        <f>ROUND(IF(D32="楼面单价",C35,F118*10000/B118),0)</f>
        <v>0</v>
      </c>
      <c r="H118" s="3475">
        <f ca="1">ROUND(IF(D32="总价",C32,I118*B118/10000),0)</f>
        <v>289</v>
      </c>
      <c r="I118" s="3475">
        <f ca="1">ROUND(IF(D32="楼面单价",C32,H118*10000/B118),0)</f>
        <v>35889</v>
      </c>
    </row>
    <row r="119" spans="1:27" ht="18.75" customHeight="1">
      <c r="A119" s="3602" t="s">
        <v>1449</v>
      </c>
      <c r="B119" s="3602"/>
      <c r="C119" s="3602"/>
      <c r="D119" s="3642" t="str">
        <f>NUMBERSTRING(INT(D118*10000),2)&amp;"元整"</f>
        <v>零元整</v>
      </c>
      <c r="E119" s="3644"/>
      <c r="F119" s="3642" t="str">
        <f>NUMBERSTRING(INT(F118*10000),2)&amp;"元整"</f>
        <v>零元整</v>
      </c>
      <c r="G119" s="3644"/>
      <c r="H119" s="3642" t="str">
        <f ca="1">NUMBERSTRING(INT(H118*10000),2)&amp;"元整"</f>
        <v>贰佰捌拾玖万元整</v>
      </c>
      <c r="I119" s="3644"/>
    </row>
    <row r="120" spans="1:27" ht="18.75" customHeight="1">
      <c r="A120" s="3666" t="str">
        <f>IF(项目基本情况!B9="房地产市场价值","",MID(E103,3,LEN(E103)-2))</f>
        <v>估价师知悉的法定优先受偿款</v>
      </c>
      <c r="B120" s="3667"/>
      <c r="C120" s="3668"/>
      <c r="D120" s="3666">
        <f>H103</f>
        <v>0</v>
      </c>
      <c r="E120" s="3667"/>
      <c r="F120" s="3667"/>
      <c r="G120" s="3667"/>
      <c r="H120" s="3667"/>
      <c r="I120" s="366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2" t="s">
        <v>1449</v>
      </c>
      <c r="B121" s="3643"/>
      <c r="C121" s="3644"/>
      <c r="D121" s="3642" t="str">
        <f>IF(D120=0,"零元整",NUMBERSTRING(INT(D120*10000),2)&amp;"元整")</f>
        <v>零元整</v>
      </c>
      <c r="E121" s="3643"/>
      <c r="F121" s="3643"/>
      <c r="G121" s="3643"/>
      <c r="H121" s="3643"/>
      <c r="I121" s="3644"/>
      <c r="AA121" s="725"/>
    </row>
    <row r="122" spans="1:27" ht="18.75" customHeight="1">
      <c r="A122" s="3633" t="str">
        <f>IF(项目基本情况!B9="房地产市场价值","",MID(E107,3,LEN(E107)-2))</f>
        <v>房地产抵押价值</v>
      </c>
      <c r="B122" s="3633"/>
      <c r="C122" s="3633"/>
      <c r="D122" s="3666">
        <f ca="1">H107</f>
        <v>289</v>
      </c>
      <c r="E122" s="3667"/>
      <c r="F122" s="3667"/>
      <c r="G122" s="3667"/>
      <c r="H122" s="3667"/>
      <c r="I122" s="3668"/>
      <c r="AA122" s="725"/>
    </row>
    <row r="123" spans="1:27" ht="18.75" customHeight="1">
      <c r="A123" s="3602" t="s">
        <v>1449</v>
      </c>
      <c r="B123" s="3602"/>
      <c r="C123" s="3602"/>
      <c r="D123" s="3642" t="str">
        <f ca="1">NUMBERSTRING(INT(D122*10000),2)&amp;"元整"</f>
        <v>贰佰捌拾玖万元整</v>
      </c>
      <c r="E123" s="3643"/>
      <c r="F123" s="3643"/>
      <c r="G123" s="3643"/>
      <c r="H123" s="3643"/>
      <c r="I123" s="3644"/>
      <c r="AA123" s="725"/>
    </row>
    <row r="124" spans="1:27" ht="18.75" customHeight="1">
      <c r="A124" s="3633" t="str">
        <f>IF(项目基本情况!B9="房地产市场价值","",MID(E109,3,LEN(E109)-2))</f>
        <v/>
      </c>
      <c r="B124" s="3633"/>
      <c r="C124" s="3633"/>
      <c r="D124" s="3666" t="str">
        <f>H109</f>
        <v>——</v>
      </c>
      <c r="E124" s="3667"/>
      <c r="F124" s="3667"/>
      <c r="G124" s="3667"/>
      <c r="H124" s="3667"/>
      <c r="I124" s="3668"/>
      <c r="AA124" s="725"/>
    </row>
    <row r="125" spans="1:27" ht="18.75" customHeight="1">
      <c r="A125" s="3602" t="s">
        <v>1449</v>
      </c>
      <c r="B125" s="3602"/>
      <c r="C125" s="3602"/>
      <c r="D125" s="3642" t="e">
        <f>NUMBERSTRING(INT(D124*10000),2)&amp;"元整"</f>
        <v>#VALUE!</v>
      </c>
      <c r="E125" s="3643"/>
      <c r="F125" s="3643"/>
      <c r="G125" s="3643"/>
      <c r="H125" s="3643"/>
      <c r="I125" s="3644"/>
      <c r="AA125" s="725"/>
    </row>
    <row r="126" spans="1:27" ht="18.75" customHeight="1">
      <c r="A126" s="3633" t="str">
        <f>IF(项目基本情况!B9="房地产市场价值","",MID(E111,3,LEN(E111)-2))</f>
        <v>抵押净值</v>
      </c>
      <c r="B126" s="3633"/>
      <c r="C126" s="3633"/>
      <c r="D126" s="3666">
        <f ca="1">H111</f>
        <v>276</v>
      </c>
      <c r="E126" s="3667"/>
      <c r="F126" s="3667"/>
      <c r="G126" s="3667"/>
      <c r="H126" s="3667"/>
      <c r="I126" s="3668"/>
      <c r="AA126" s="725"/>
    </row>
    <row r="127" spans="1:27" ht="18.75" customHeight="1">
      <c r="A127" s="3602" t="s">
        <v>1449</v>
      </c>
      <c r="B127" s="3602"/>
      <c r="C127" s="3602"/>
      <c r="D127" s="3642" t="str">
        <f ca="1">NUMBERSTRING(INT(D126*10000),2)&amp;"元整"</f>
        <v>贰佰柒拾陆万元整</v>
      </c>
      <c r="E127" s="3643"/>
      <c r="F127" s="3643"/>
      <c r="G127" s="3643"/>
      <c r="H127" s="3643"/>
      <c r="I127" s="3644"/>
      <c r="AA127" s="725"/>
    </row>
    <row r="128" spans="1:27" ht="21.75" customHeight="1">
      <c r="A128" s="3649" t="s">
        <v>1450</v>
      </c>
      <c r="B128" s="3649"/>
      <c r="C128" s="3649"/>
      <c r="D128" s="3649"/>
      <c r="E128" s="3649"/>
      <c r="F128" s="3649"/>
      <c r="G128" s="3649"/>
      <c r="H128" s="3649"/>
      <c r="I128" s="3649"/>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zoomScaleSheetLayoutView="80"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v>414</v>
      </c>
      <c r="E1" s="3432" t="s">
        <v>3397</v>
      </c>
      <c r="F1" s="1879" t="s">
        <v>3472</v>
      </c>
      <c r="G1" s="1235" t="s">
        <v>1660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f>IF(E1="项目模式",IF(C2="——",ROUND(C50*D3/10000,0),ROUND(C50*D3/10000,0)-D2),IF(E1="单套模式",IF(C2="——",ROUND(C50*D3/10000,4),ROUND(C50*D3/10000,4)-D2)))</f>
        <v>317.79419999999999</v>
      </c>
      <c r="C2" s="1881" t="s">
        <v>43</v>
      </c>
      <c r="D2" s="1115" t="e">
        <f ca="1">IF(E1="项目模式",SUMIF(INDIRECT("'"&amp;F2&amp;"'"&amp;"!A:A"),"承租人权益价值",INDIRECT("'"&amp;F2&amp;"'"&amp;"!c:c")),SUMIF(INDIRECT("'"&amp;F2&amp;"'"&amp;"!A:A"),"承租人权益价值（单套）",INDIRECT("'"&amp;F2&amp;"'"&amp;"!c:c")))</f>
        <v>#REF!</v>
      </c>
      <c r="E2" s="1882" t="s">
        <v>1460</v>
      </c>
      <c r="F2" s="1883" t="s">
        <v>3395</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684</v>
      </c>
      <c r="B3" s="558">
        <f>IF(C2="——",C50,ROUND(B2*10000/D3,0))</f>
        <v>39409</v>
      </c>
      <c r="C3" s="354" t="s">
        <v>1662</v>
      </c>
      <c r="D3" s="353">
        <f>IF(D1="",'数据-汇总表'!E3,SUMIF('数据-汇总表'!$C19:$C33,D1,'数据-汇总表'!$E19:$E33))</f>
        <v>80.64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1663</v>
      </c>
      <c r="B4" s="356"/>
      <c r="C4" s="3729" t="s">
        <v>1664</v>
      </c>
      <c r="D4" s="3730"/>
      <c r="E4" s="3731" t="s">
        <v>1665</v>
      </c>
      <c r="F4" s="3732"/>
      <c r="G4" s="3729" t="s">
        <v>1666</v>
      </c>
      <c r="H4" s="3730"/>
      <c r="I4" s="3729" t="s">
        <v>1667</v>
      </c>
      <c r="J4" s="3730"/>
      <c r="K4" s="559" t="s">
        <v>1668</v>
      </c>
      <c r="L4" s="2714"/>
      <c r="M4" s="2715"/>
      <c r="N4" s="2715"/>
      <c r="O4" s="2715"/>
      <c r="P4" s="3768" t="s">
        <v>1669</v>
      </c>
      <c r="Q4" s="3769"/>
      <c r="R4" s="3762" t="s">
        <v>1665</v>
      </c>
      <c r="S4" s="3763"/>
      <c r="T4" s="3762" t="s">
        <v>1666</v>
      </c>
      <c r="U4" s="3763"/>
      <c r="V4" s="3761" t="s">
        <v>1667</v>
      </c>
      <c r="W4" s="3761"/>
      <c r="X4" s="3496"/>
      <c r="Y4" s="3762" t="s">
        <v>1669</v>
      </c>
      <c r="Z4" s="3763"/>
      <c r="AA4" s="3764" t="s">
        <v>1665</v>
      </c>
      <c r="AB4" s="3764" t="s">
        <v>1666</v>
      </c>
      <c r="AC4" s="3765" t="s">
        <v>1667</v>
      </c>
    </row>
    <row r="5" spans="1:29" ht="13.9" customHeight="1">
      <c r="A5" s="358"/>
      <c r="B5" s="359"/>
      <c r="C5" s="3772" t="s">
        <v>3399</v>
      </c>
      <c r="D5" s="3749"/>
      <c r="E5" s="3772" t="s">
        <v>3399</v>
      </c>
      <c r="F5" s="3749"/>
      <c r="G5" s="3772" t="s">
        <v>3399</v>
      </c>
      <c r="H5" s="3749"/>
      <c r="I5" s="3772" t="s">
        <v>3399</v>
      </c>
      <c r="J5" s="3749"/>
      <c r="K5" s="559"/>
      <c r="L5" s="2714"/>
      <c r="M5" s="2715"/>
      <c r="N5" s="2715"/>
      <c r="O5" s="2715"/>
      <c r="P5" s="3770"/>
      <c r="Q5" s="3736"/>
      <c r="R5" s="3741"/>
      <c r="S5" s="3742"/>
      <c r="T5" s="3741"/>
      <c r="U5" s="3742"/>
      <c r="V5" s="3745"/>
      <c r="W5" s="3745"/>
      <c r="X5" s="3491"/>
      <c r="Y5" s="3741"/>
      <c r="Z5" s="3742"/>
      <c r="AA5" s="3727"/>
      <c r="AB5" s="3727"/>
      <c r="AC5" s="3766"/>
    </row>
    <row r="6" spans="1:29" ht="15.75" thickBot="1">
      <c r="A6" s="360"/>
      <c r="B6" s="361"/>
      <c r="C6" s="3746" t="s">
        <v>1674</v>
      </c>
      <c r="D6" s="3747"/>
      <c r="E6" s="3753" t="s">
        <v>1674</v>
      </c>
      <c r="F6" s="3754"/>
      <c r="G6" s="3746" t="s">
        <v>1674</v>
      </c>
      <c r="H6" s="3747"/>
      <c r="I6" s="3746" t="s">
        <v>1674</v>
      </c>
      <c r="J6" s="3747"/>
      <c r="K6" s="559" t="s">
        <v>1675</v>
      </c>
      <c r="L6" s="2714"/>
      <c r="M6" s="2715"/>
      <c r="N6" s="2715"/>
      <c r="O6" s="2715"/>
      <c r="P6" s="3771"/>
      <c r="Q6" s="3738"/>
      <c r="R6" s="3741"/>
      <c r="S6" s="3742"/>
      <c r="T6" s="3743"/>
      <c r="U6" s="3744"/>
      <c r="V6" s="3745"/>
      <c r="W6" s="3745"/>
      <c r="X6" s="3491"/>
      <c r="Y6" s="3743"/>
      <c r="Z6" s="3744"/>
      <c r="AA6" s="3728"/>
      <c r="AB6" s="3728"/>
      <c r="AC6" s="3767"/>
    </row>
    <row r="7" spans="1:29" s="108" customFormat="1" ht="15.75" thickBot="1">
      <c r="A7" s="362" t="s">
        <v>1676</v>
      </c>
      <c r="B7" s="363"/>
      <c r="C7" s="364">
        <f>'数据-取费表'!B2</f>
        <v>45405</v>
      </c>
      <c r="D7" s="365">
        <v>100</v>
      </c>
      <c r="E7" s="366">
        <v>45379</v>
      </c>
      <c r="F7" s="367">
        <f>SUMIF(59:59,YEAR(E7)&amp;"-"&amp;MONTH(E7),60:60)</f>
        <v>100</v>
      </c>
      <c r="G7" s="366">
        <v>45383</v>
      </c>
      <c r="H7" s="365">
        <f>SUMIF(59:59,YEAR(G7)&amp;"-"&amp;MONTH(G7),60:60)</f>
        <v>100</v>
      </c>
      <c r="I7" s="366">
        <v>45357</v>
      </c>
      <c r="J7" s="365">
        <f>SUMIF(59:59,YEAR(I7)&amp;"-"&amp;MONTH(I7),60:60)</f>
        <v>100</v>
      </c>
      <c r="K7" s="560"/>
      <c r="L7" s="2716"/>
      <c r="M7" s="2717"/>
      <c r="N7" s="2717"/>
      <c r="O7" s="2717"/>
      <c r="P7" s="3760" t="s">
        <v>1677</v>
      </c>
      <c r="Q7" s="3752"/>
      <c r="R7" s="701" t="s">
        <v>14</v>
      </c>
      <c r="S7" s="702">
        <f t="shared" ref="S7:S15" si="0">F7</f>
        <v>100</v>
      </c>
      <c r="T7" s="701" t="s">
        <v>14</v>
      </c>
      <c r="U7" s="702">
        <f t="shared" ref="U7:U15" si="1">H7</f>
        <v>100</v>
      </c>
      <c r="V7" s="701" t="s">
        <v>14</v>
      </c>
      <c r="W7" s="702">
        <f t="shared" ref="W7:W15" si="2">J7</f>
        <v>100</v>
      </c>
      <c r="X7" s="703"/>
      <c r="Y7" s="3750" t="s">
        <v>1677</v>
      </c>
      <c r="Z7" s="3751"/>
      <c r="AA7" s="704">
        <f>D7/F7</f>
        <v>1</v>
      </c>
      <c r="AB7" s="704">
        <f>D7/H7</f>
        <v>1</v>
      </c>
      <c r="AC7" s="1959">
        <f>D7/J7</f>
        <v>1</v>
      </c>
    </row>
    <row r="8" spans="1:29" s="108" customFormat="1" ht="15.75" thickBot="1">
      <c r="A8" s="362" t="s">
        <v>1678</v>
      </c>
      <c r="B8" s="363"/>
      <c r="C8" s="368" t="s">
        <v>3400</v>
      </c>
      <c r="D8" s="365">
        <v>100</v>
      </c>
      <c r="E8" s="368" t="s">
        <v>3401</v>
      </c>
      <c r="F8" s="367">
        <f>SUMIF(62:62,E8,63:63)-SUMIF(62:62,C8,63:63)+100</f>
        <v>102</v>
      </c>
      <c r="G8" s="368" t="s">
        <v>3401</v>
      </c>
      <c r="H8" s="365">
        <f>SUMIF(62:62,G8,63:63)-SUMIF(62:62,C8,63:63)+100</f>
        <v>102</v>
      </c>
      <c r="I8" s="368" t="s">
        <v>3401</v>
      </c>
      <c r="J8" s="365">
        <f>SUMIF(62:62,I8,63:63)-SUMIF(62:62,C8,63:63)+100</f>
        <v>102</v>
      </c>
      <c r="K8" s="560"/>
      <c r="L8" s="2716"/>
      <c r="M8" s="2717"/>
      <c r="N8" s="2717"/>
      <c r="O8" s="2717"/>
      <c r="P8" s="3760" t="s">
        <v>1680</v>
      </c>
      <c r="Q8" s="3751"/>
      <c r="R8" s="701" t="s">
        <v>14</v>
      </c>
      <c r="S8" s="702">
        <f t="shared" si="0"/>
        <v>102</v>
      </c>
      <c r="T8" s="701" t="s">
        <v>14</v>
      </c>
      <c r="U8" s="702">
        <f t="shared" si="1"/>
        <v>102</v>
      </c>
      <c r="V8" s="701" t="s">
        <v>14</v>
      </c>
      <c r="W8" s="702">
        <f t="shared" si="2"/>
        <v>102</v>
      </c>
      <c r="X8" s="703"/>
      <c r="Y8" s="3750" t="s">
        <v>1680</v>
      </c>
      <c r="Z8" s="3751"/>
      <c r="AA8" s="704">
        <f t="shared" ref="AA8:AA47" si="3">D8/F8</f>
        <v>0.98039215686274506</v>
      </c>
      <c r="AB8" s="704">
        <f t="shared" ref="AB8:AB47" si="4">D8/H8</f>
        <v>0.98039215686274506</v>
      </c>
      <c r="AC8" s="1959">
        <f t="shared" ref="AC8:AC47" si="5">D8/J8</f>
        <v>0.98039215686274506</v>
      </c>
    </row>
    <row r="9" spans="1:29" s="108" customFormat="1">
      <c r="A9" s="369" t="s">
        <v>1681</v>
      </c>
      <c r="B9" s="63" t="s">
        <v>1682</v>
      </c>
      <c r="C9" s="3462" t="s">
        <v>2812</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725" t="s">
        <v>1683</v>
      </c>
      <c r="Q9" s="3488" t="str">
        <f t="shared" ref="Q9:Q15" si="6">B9</f>
        <v>用途</v>
      </c>
      <c r="R9" s="701" t="s">
        <v>14</v>
      </c>
      <c r="S9" s="702">
        <f t="shared" si="0"/>
        <v>100</v>
      </c>
      <c r="T9" s="701" t="s">
        <v>14</v>
      </c>
      <c r="U9" s="702">
        <f t="shared" si="1"/>
        <v>100</v>
      </c>
      <c r="V9" s="701" t="s">
        <v>14</v>
      </c>
      <c r="W9" s="702">
        <f t="shared" si="2"/>
        <v>100</v>
      </c>
      <c r="X9" s="703"/>
      <c r="Y9" s="3589" t="s">
        <v>1684</v>
      </c>
      <c r="Z9" s="3470" t="str">
        <f t="shared" ref="Z9:Z15" si="7">Q9</f>
        <v>用途</v>
      </c>
      <c r="AA9" s="704">
        <f t="shared" si="3"/>
        <v>1</v>
      </c>
      <c r="AB9" s="704">
        <f t="shared" si="4"/>
        <v>1</v>
      </c>
      <c r="AC9" s="1959">
        <f t="shared" si="5"/>
        <v>1</v>
      </c>
    </row>
    <row r="10" spans="1:29" s="378" customFormat="1" ht="27">
      <c r="A10" s="374"/>
      <c r="B10" s="375" t="s">
        <v>1685</v>
      </c>
      <c r="C10" s="3433">
        <f>'数据-取费表'!F6</f>
        <v>36.72</v>
      </c>
      <c r="D10" s="127">
        <v>100</v>
      </c>
      <c r="E10" s="3433">
        <f>C10</f>
        <v>36.72</v>
      </c>
      <c r="F10" s="127">
        <f>SUMIF(66:66,E10,67:67)-SUMIF(66:66,C10,67:67)+100</f>
        <v>100</v>
      </c>
      <c r="G10" s="3434">
        <f>C10</f>
        <v>36.72</v>
      </c>
      <c r="H10" s="127">
        <f>SUMIF(66:66,G10,67:67)-SUMIF(66:66,C10,67:67)+100</f>
        <v>100</v>
      </c>
      <c r="I10" s="3433">
        <f>C10</f>
        <v>36.72</v>
      </c>
      <c r="J10" s="127">
        <f>SUMIF(66:66,I10,67:67)-SUMIF(66:66,C10,67:67)+100</f>
        <v>100</v>
      </c>
      <c r="K10" s="560"/>
      <c r="L10" s="2718"/>
      <c r="M10" s="2719"/>
      <c r="N10" s="2719"/>
      <c r="O10" s="2719"/>
      <c r="P10" s="3725"/>
      <c r="Q10" s="3488" t="str">
        <f t="shared" si="6"/>
        <v>土地使用年限（年）</v>
      </c>
      <c r="R10" s="701" t="s">
        <v>14</v>
      </c>
      <c r="S10" s="702">
        <f t="shared" si="0"/>
        <v>100</v>
      </c>
      <c r="T10" s="701" t="s">
        <v>14</v>
      </c>
      <c r="U10" s="702">
        <f t="shared" si="1"/>
        <v>100</v>
      </c>
      <c r="V10" s="701" t="s">
        <v>14</v>
      </c>
      <c r="W10" s="702">
        <f t="shared" si="2"/>
        <v>100</v>
      </c>
      <c r="X10" s="703"/>
      <c r="Y10" s="3589"/>
      <c r="Z10" s="3470" t="str">
        <f t="shared" si="7"/>
        <v>土地使用年限（年）</v>
      </c>
      <c r="AA10" s="704">
        <f t="shared" si="3"/>
        <v>1</v>
      </c>
      <c r="AB10" s="704">
        <f t="shared" si="4"/>
        <v>1</v>
      </c>
      <c r="AC10" s="1959">
        <f t="shared" si="5"/>
        <v>1</v>
      </c>
    </row>
    <row r="11" spans="1:29" ht="15.75" thickBot="1">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5"/>
      <c r="Q11" s="3488" t="str">
        <f t="shared" si="6"/>
        <v>容积率</v>
      </c>
      <c r="R11" s="701" t="s">
        <v>14</v>
      </c>
      <c r="S11" s="702">
        <f t="shared" si="0"/>
        <v>100</v>
      </c>
      <c r="T11" s="701" t="s">
        <v>14</v>
      </c>
      <c r="U11" s="702">
        <f t="shared" si="1"/>
        <v>100</v>
      </c>
      <c r="V11" s="701" t="s">
        <v>14</v>
      </c>
      <c r="W11" s="702">
        <f t="shared" si="2"/>
        <v>100</v>
      </c>
      <c r="X11" s="703"/>
      <c r="Y11" s="3589"/>
      <c r="Z11" s="3470"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25"/>
      <c r="Q12" s="3488">
        <f t="shared" si="6"/>
        <v>111</v>
      </c>
      <c r="R12" s="701" t="s">
        <v>14</v>
      </c>
      <c r="S12" s="702">
        <f t="shared" si="0"/>
        <v>100</v>
      </c>
      <c r="T12" s="701" t="s">
        <v>14</v>
      </c>
      <c r="U12" s="702">
        <f t="shared" si="1"/>
        <v>100</v>
      </c>
      <c r="V12" s="701" t="s">
        <v>14</v>
      </c>
      <c r="W12" s="702">
        <f t="shared" si="2"/>
        <v>100</v>
      </c>
      <c r="X12" s="703"/>
      <c r="Y12" s="3589"/>
      <c r="Z12" s="3470">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25"/>
      <c r="Q13" s="3488">
        <f t="shared" si="6"/>
        <v>111</v>
      </c>
      <c r="R13" s="701" t="s">
        <v>14</v>
      </c>
      <c r="S13" s="702">
        <f t="shared" si="0"/>
        <v>100</v>
      </c>
      <c r="T13" s="701" t="s">
        <v>14</v>
      </c>
      <c r="U13" s="702">
        <f t="shared" si="1"/>
        <v>100</v>
      </c>
      <c r="V13" s="701" t="s">
        <v>14</v>
      </c>
      <c r="W13" s="702">
        <f t="shared" si="2"/>
        <v>100</v>
      </c>
      <c r="X13" s="703"/>
      <c r="Y13" s="3589"/>
      <c r="Z13" s="3470">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25"/>
      <c r="Q14" s="3488">
        <f t="shared" si="6"/>
        <v>111</v>
      </c>
      <c r="R14" s="701" t="s">
        <v>14</v>
      </c>
      <c r="S14" s="702">
        <f t="shared" si="0"/>
        <v>100</v>
      </c>
      <c r="T14" s="701" t="s">
        <v>14</v>
      </c>
      <c r="U14" s="702">
        <f t="shared" si="1"/>
        <v>100</v>
      </c>
      <c r="V14" s="701" t="s">
        <v>14</v>
      </c>
      <c r="W14" s="702">
        <f t="shared" si="2"/>
        <v>100</v>
      </c>
      <c r="X14" s="703"/>
      <c r="Y14" s="3589"/>
      <c r="Z14" s="3470">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23" t="s">
        <v>1688</v>
      </c>
      <c r="Q15" s="3494" t="str">
        <f t="shared" si="6"/>
        <v>办公集聚程度</v>
      </c>
      <c r="R15" s="705" t="s">
        <v>14</v>
      </c>
      <c r="S15" s="706">
        <f t="shared" si="0"/>
        <v>100</v>
      </c>
      <c r="T15" s="705" t="s">
        <v>14</v>
      </c>
      <c r="U15" s="706">
        <f t="shared" si="1"/>
        <v>100</v>
      </c>
      <c r="V15" s="705" t="s">
        <v>14</v>
      </c>
      <c r="W15" s="706">
        <f t="shared" si="2"/>
        <v>100</v>
      </c>
      <c r="X15" s="3491"/>
      <c r="Y15" s="3716" t="s">
        <v>1688</v>
      </c>
      <c r="Z15" s="3492" t="str">
        <f t="shared" si="7"/>
        <v>办公集聚程度</v>
      </c>
      <c r="AA15" s="3495">
        <f t="shared" si="3"/>
        <v>1</v>
      </c>
      <c r="AB15" s="3495">
        <f t="shared" si="4"/>
        <v>1</v>
      </c>
      <c r="AC15" s="1962">
        <f t="shared" si="5"/>
        <v>1</v>
      </c>
    </row>
    <row r="16" spans="1:29" ht="15">
      <c r="A16" s="379"/>
      <c r="B16" s="578"/>
      <c r="C16" s="1904" t="s">
        <v>3451</v>
      </c>
      <c r="D16" s="399"/>
      <c r="E16" s="398" t="s">
        <v>3451</v>
      </c>
      <c r="F16" s="399"/>
      <c r="G16" s="1904" t="s">
        <v>3451</v>
      </c>
      <c r="H16" s="401"/>
      <c r="I16" s="398" t="s">
        <v>3451</v>
      </c>
      <c r="J16" s="399"/>
      <c r="K16" s="564"/>
      <c r="L16" s="2721"/>
      <c r="M16" s="2715"/>
      <c r="N16" s="2715"/>
      <c r="O16" s="2715"/>
      <c r="P16" s="3724"/>
      <c r="Q16" s="3494"/>
      <c r="R16" s="705"/>
      <c r="S16" s="706"/>
      <c r="T16" s="705"/>
      <c r="U16" s="706"/>
      <c r="V16" s="705"/>
      <c r="W16" s="706"/>
      <c r="X16" s="3491"/>
      <c r="Y16" s="3717"/>
      <c r="Z16" s="3492"/>
      <c r="AA16" s="3495">
        <v>1</v>
      </c>
      <c r="AB16" s="3495">
        <v>1</v>
      </c>
      <c r="AC16" s="1962">
        <v>1</v>
      </c>
    </row>
    <row r="17" spans="1:29" ht="71.25">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24"/>
      <c r="Q17" s="3494" t="str">
        <f>B17</f>
        <v>交通便捷度</v>
      </c>
      <c r="R17" s="705" t="s">
        <v>14</v>
      </c>
      <c r="S17" s="706">
        <f>F17</f>
        <v>100</v>
      </c>
      <c r="T17" s="705" t="s">
        <v>14</v>
      </c>
      <c r="U17" s="706">
        <f>H17</f>
        <v>100</v>
      </c>
      <c r="V17" s="705" t="s">
        <v>14</v>
      </c>
      <c r="W17" s="706">
        <f>J17</f>
        <v>100</v>
      </c>
      <c r="X17" s="3491"/>
      <c r="Y17" s="3717"/>
      <c r="Z17" s="3492" t="str">
        <f>Q17</f>
        <v>交通便捷度</v>
      </c>
      <c r="AA17" s="3495">
        <f t="shared" si="3"/>
        <v>1</v>
      </c>
      <c r="AB17" s="3495">
        <f t="shared" si="4"/>
        <v>1</v>
      </c>
      <c r="AC17" s="1962">
        <f t="shared" si="5"/>
        <v>1</v>
      </c>
    </row>
    <row r="18" spans="1:29" ht="15">
      <c r="A18" s="379"/>
      <c r="B18" s="580"/>
      <c r="C18" s="1964" t="s">
        <v>3451</v>
      </c>
      <c r="D18" s="401"/>
      <c r="E18" s="1902" t="s">
        <v>3451</v>
      </c>
      <c r="F18" s="401"/>
      <c r="G18" s="1903" t="s">
        <v>3451</v>
      </c>
      <c r="H18" s="399"/>
      <c r="I18" s="1903" t="s">
        <v>3451</v>
      </c>
      <c r="J18" s="399"/>
      <c r="K18" s="564"/>
      <c r="L18" s="2721"/>
      <c r="M18" s="2715"/>
      <c r="N18" s="2715"/>
      <c r="O18" s="2715"/>
      <c r="P18" s="3724"/>
      <c r="Q18" s="3494"/>
      <c r="R18" s="705"/>
      <c r="S18" s="706"/>
      <c r="T18" s="705"/>
      <c r="U18" s="706"/>
      <c r="V18" s="705"/>
      <c r="W18" s="706"/>
      <c r="X18" s="3491"/>
      <c r="Y18" s="3717"/>
      <c r="Z18" s="3492"/>
      <c r="AA18" s="3495">
        <v>1</v>
      </c>
      <c r="AB18" s="3495">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24"/>
      <c r="Q19" s="3494" t="str">
        <f>B19</f>
        <v>公共配套设施</v>
      </c>
      <c r="R19" s="705" t="s">
        <v>14</v>
      </c>
      <c r="S19" s="706">
        <f>F19</f>
        <v>100</v>
      </c>
      <c r="T19" s="705" t="s">
        <v>14</v>
      </c>
      <c r="U19" s="706">
        <f>H19</f>
        <v>100</v>
      </c>
      <c r="V19" s="705" t="s">
        <v>14</v>
      </c>
      <c r="W19" s="706">
        <f>J19</f>
        <v>100</v>
      </c>
      <c r="X19" s="3491"/>
      <c r="Y19" s="3717"/>
      <c r="Z19" s="3492" t="str">
        <f>Q19</f>
        <v>公共配套设施</v>
      </c>
      <c r="AA19" s="3495">
        <f t="shared" si="3"/>
        <v>1</v>
      </c>
      <c r="AB19" s="3495">
        <f t="shared" si="4"/>
        <v>1</v>
      </c>
      <c r="AC19" s="1962">
        <f t="shared" si="5"/>
        <v>1</v>
      </c>
    </row>
    <row r="20" spans="1:29" ht="15">
      <c r="A20" s="379"/>
      <c r="B20" s="580"/>
      <c r="C20" s="1904" t="s">
        <v>3451</v>
      </c>
      <c r="D20" s="399"/>
      <c r="E20" s="1897" t="s">
        <v>3451</v>
      </c>
      <c r="F20" s="399"/>
      <c r="G20" s="1898" t="s">
        <v>3451</v>
      </c>
      <c r="H20" s="399"/>
      <c r="I20" s="1898" t="s">
        <v>3451</v>
      </c>
      <c r="J20" s="399"/>
      <c r="K20" s="564"/>
      <c r="L20" s="2721"/>
      <c r="M20" s="2715"/>
      <c r="N20" s="2715"/>
      <c r="O20" s="2715"/>
      <c r="P20" s="3724"/>
      <c r="Q20" s="3494"/>
      <c r="R20" s="705"/>
      <c r="S20" s="706"/>
      <c r="T20" s="705"/>
      <c r="U20" s="706"/>
      <c r="V20" s="705"/>
      <c r="W20" s="706"/>
      <c r="X20" s="3491"/>
      <c r="Y20" s="3717"/>
      <c r="Z20" s="3492"/>
      <c r="AA20" s="3495">
        <v>1</v>
      </c>
      <c r="AB20" s="3495">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24"/>
      <c r="Q21" s="3494" t="str">
        <f>B21</f>
        <v>基础设施水平</v>
      </c>
      <c r="R21" s="705" t="s">
        <v>14</v>
      </c>
      <c r="S21" s="706">
        <f>F21</f>
        <v>100</v>
      </c>
      <c r="T21" s="705" t="s">
        <v>14</v>
      </c>
      <c r="U21" s="706">
        <f>H21</f>
        <v>100</v>
      </c>
      <c r="V21" s="705" t="s">
        <v>14</v>
      </c>
      <c r="W21" s="706">
        <f>J21</f>
        <v>100</v>
      </c>
      <c r="X21" s="3491"/>
      <c r="Y21" s="3717"/>
      <c r="Z21" s="3492" t="str">
        <f>Q21</f>
        <v>基础设施水平</v>
      </c>
      <c r="AA21" s="3495">
        <f t="shared" ref="AA21" si="8">D21/F21</f>
        <v>1</v>
      </c>
      <c r="AB21" s="3495">
        <f t="shared" ref="AB21" si="9">D21/H21</f>
        <v>1</v>
      </c>
      <c r="AC21" s="1962">
        <f t="shared" ref="AC21" si="10">D21/J21</f>
        <v>1</v>
      </c>
    </row>
    <row r="22" spans="1:29" ht="15">
      <c r="A22" s="379"/>
      <c r="B22" s="581"/>
      <c r="C22" s="1964" t="s">
        <v>3428</v>
      </c>
      <c r="D22" s="399"/>
      <c r="E22" s="398" t="s">
        <v>3428</v>
      </c>
      <c r="F22" s="399"/>
      <c r="G22" s="1904" t="s">
        <v>3428</v>
      </c>
      <c r="H22" s="399"/>
      <c r="I22" s="1904" t="s">
        <v>3428</v>
      </c>
      <c r="J22" s="399"/>
      <c r="K22" s="1130"/>
      <c r="L22" s="2721"/>
      <c r="M22" s="2715"/>
      <c r="N22" s="2715"/>
      <c r="O22" s="2715"/>
      <c r="P22" s="3724"/>
      <c r="Q22" s="3494"/>
      <c r="R22" s="705"/>
      <c r="S22" s="706"/>
      <c r="T22" s="705"/>
      <c r="U22" s="706"/>
      <c r="V22" s="705"/>
      <c r="W22" s="706"/>
      <c r="X22" s="3491"/>
      <c r="Y22" s="3717"/>
      <c r="Z22" s="3492"/>
      <c r="AA22" s="3495">
        <v>1</v>
      </c>
      <c r="AB22" s="3495">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24"/>
      <c r="Q23" s="3494" t="str">
        <f>B23</f>
        <v>环境质量</v>
      </c>
      <c r="R23" s="705" t="s">
        <v>14</v>
      </c>
      <c r="S23" s="706">
        <f>F23</f>
        <v>100</v>
      </c>
      <c r="T23" s="705" t="s">
        <v>14</v>
      </c>
      <c r="U23" s="706">
        <f>H23</f>
        <v>100</v>
      </c>
      <c r="V23" s="705" t="s">
        <v>14</v>
      </c>
      <c r="W23" s="706">
        <f>J23</f>
        <v>100</v>
      </c>
      <c r="X23" s="3491"/>
      <c r="Y23" s="3717"/>
      <c r="Z23" s="3492" t="str">
        <f>Q23</f>
        <v>环境质量</v>
      </c>
      <c r="AA23" s="3495">
        <f t="shared" si="3"/>
        <v>1</v>
      </c>
      <c r="AB23" s="3495">
        <f t="shared" si="4"/>
        <v>1</v>
      </c>
      <c r="AC23" s="1962">
        <f t="shared" si="5"/>
        <v>1</v>
      </c>
    </row>
    <row r="24" spans="1:29" ht="15">
      <c r="A24" s="379"/>
      <c r="B24" s="581"/>
      <c r="C24" s="1904" t="s">
        <v>3452</v>
      </c>
      <c r="D24" s="399"/>
      <c r="E24" s="1897" t="s">
        <v>3452</v>
      </c>
      <c r="F24" s="399"/>
      <c r="G24" s="1898" t="s">
        <v>3452</v>
      </c>
      <c r="H24" s="399"/>
      <c r="I24" s="1898" t="s">
        <v>3452</v>
      </c>
      <c r="J24" s="399"/>
      <c r="K24" s="564"/>
      <c r="L24" s="2721"/>
      <c r="M24" s="2715"/>
      <c r="N24" s="2715"/>
      <c r="O24" s="2715"/>
      <c r="P24" s="3724"/>
      <c r="Q24" s="3494"/>
      <c r="R24" s="705"/>
      <c r="S24" s="706"/>
      <c r="T24" s="705"/>
      <c r="U24" s="706"/>
      <c r="V24" s="705"/>
      <c r="W24" s="706"/>
      <c r="X24" s="3491"/>
      <c r="Y24" s="3717"/>
      <c r="Z24" s="3492"/>
      <c r="AA24" s="3495">
        <v>1</v>
      </c>
      <c r="AB24" s="3495">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24"/>
      <c r="Q25" s="3494" t="str">
        <f>B25</f>
        <v>毗邻道路的类型与等级</v>
      </c>
      <c r="R25" s="705" t="s">
        <v>14</v>
      </c>
      <c r="S25" s="706">
        <f>F25</f>
        <v>100</v>
      </c>
      <c r="T25" s="705" t="s">
        <v>14</v>
      </c>
      <c r="U25" s="706">
        <f>H25</f>
        <v>100</v>
      </c>
      <c r="V25" s="705" t="s">
        <v>14</v>
      </c>
      <c r="W25" s="706">
        <f>J25</f>
        <v>100</v>
      </c>
      <c r="X25" s="3491"/>
      <c r="Y25" s="3717"/>
      <c r="Z25" s="3492" t="str">
        <f>Q25</f>
        <v>毗邻道路的类型与等级</v>
      </c>
      <c r="AA25" s="3495">
        <f t="shared" si="3"/>
        <v>1</v>
      </c>
      <c r="AB25" s="3495">
        <f t="shared" si="4"/>
        <v>1</v>
      </c>
      <c r="AC25" s="1962">
        <f t="shared" si="5"/>
        <v>1</v>
      </c>
    </row>
    <row r="26" spans="1:29" ht="15">
      <c r="A26" s="358"/>
      <c r="B26" s="580"/>
      <c r="C26" s="582" t="s">
        <v>3453</v>
      </c>
      <c r="D26" s="386"/>
      <c r="E26" s="565" t="s">
        <v>3453</v>
      </c>
      <c r="F26" s="386"/>
      <c r="G26" s="582" t="s">
        <v>3453</v>
      </c>
      <c r="H26" s="386"/>
      <c r="I26" s="565" t="s">
        <v>3453</v>
      </c>
      <c r="J26" s="386"/>
      <c r="K26" s="564"/>
      <c r="L26" s="2721"/>
      <c r="M26" s="2715"/>
      <c r="N26" s="2715"/>
      <c r="O26" s="2715"/>
      <c r="P26" s="3724"/>
      <c r="Q26" s="3494"/>
      <c r="R26" s="705"/>
      <c r="S26" s="706"/>
      <c r="T26" s="705"/>
      <c r="U26" s="706"/>
      <c r="V26" s="705"/>
      <c r="W26" s="706"/>
      <c r="X26" s="3491"/>
      <c r="Y26" s="3717"/>
      <c r="Z26" s="3492"/>
      <c r="AA26" s="3495">
        <v>1</v>
      </c>
      <c r="AB26" s="3495">
        <v>1</v>
      </c>
      <c r="AC26" s="1962">
        <v>1</v>
      </c>
    </row>
    <row r="27" spans="1:29" ht="15">
      <c r="A27" s="379"/>
      <c r="B27" s="580" t="s">
        <v>1780</v>
      </c>
      <c r="C27" s="582" t="s">
        <v>3411</v>
      </c>
      <c r="D27" s="386">
        <v>100</v>
      </c>
      <c r="E27" s="565" t="s">
        <v>3411</v>
      </c>
      <c r="F27" s="386">
        <f>SUMIF(89:89,E27,90:90)-SUMIF(89:89,C27,90:90)+100</f>
        <v>100</v>
      </c>
      <c r="G27" s="582" t="s">
        <v>3411</v>
      </c>
      <c r="H27" s="386">
        <f>SUMIF(89:89,G27,90:90)-SUMIF(89:89,C27,90:90)+100</f>
        <v>100</v>
      </c>
      <c r="I27" s="565" t="s">
        <v>3409</v>
      </c>
      <c r="J27" s="386">
        <f>SUMIF(89:89,I27,90:90)-SUMIF(89:89,C27,90:90)+100</f>
        <v>102</v>
      </c>
      <c r="K27" s="561">
        <v>2</v>
      </c>
      <c r="L27" s="2721"/>
      <c r="M27" s="2715"/>
      <c r="N27" s="2715"/>
      <c r="O27" s="2715"/>
      <c r="P27" s="3724"/>
      <c r="Q27" s="3494" t="str">
        <f t="shared" ref="Q27:Q47" si="11">B27</f>
        <v>楼层</v>
      </c>
      <c r="R27" s="705" t="s">
        <v>14</v>
      </c>
      <c r="S27" s="706">
        <f>F27</f>
        <v>100</v>
      </c>
      <c r="T27" s="705" t="s">
        <v>14</v>
      </c>
      <c r="U27" s="706">
        <f>H27</f>
        <v>100</v>
      </c>
      <c r="V27" s="705" t="s">
        <v>14</v>
      </c>
      <c r="W27" s="706">
        <f>J27</f>
        <v>102</v>
      </c>
      <c r="X27" s="3491"/>
      <c r="Y27" s="3717"/>
      <c r="Z27" s="3492" t="str">
        <f>Q27</f>
        <v>楼层</v>
      </c>
      <c r="AA27" s="3495">
        <f t="shared" si="3"/>
        <v>1</v>
      </c>
      <c r="AB27" s="3495">
        <f t="shared" si="4"/>
        <v>1</v>
      </c>
      <c r="AC27" s="1962">
        <f t="shared" si="5"/>
        <v>0.98039215686274506</v>
      </c>
    </row>
    <row r="28" spans="1:29" s="108" customFormat="1" ht="15.75" thickBot="1">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4"/>
      <c r="Q28" s="3488" t="str">
        <f t="shared" si="11"/>
        <v>朝向</v>
      </c>
      <c r="R28" s="701" t="s">
        <v>14</v>
      </c>
      <c r="S28" s="702">
        <f>F28</f>
        <v>100</v>
      </c>
      <c r="T28" s="701" t="s">
        <v>14</v>
      </c>
      <c r="U28" s="702">
        <f>H28</f>
        <v>100</v>
      </c>
      <c r="V28" s="701" t="s">
        <v>14</v>
      </c>
      <c r="W28" s="702">
        <f>J28</f>
        <v>100</v>
      </c>
      <c r="X28" s="703"/>
      <c r="Y28" s="3717"/>
      <c r="Z28" s="3470" t="str">
        <f>Q28</f>
        <v>朝向</v>
      </c>
      <c r="AA28" s="3495">
        <f>D28/F28</f>
        <v>1</v>
      </c>
      <c r="AB28" s="3495">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4"/>
      <c r="Q29" s="3494">
        <f t="shared" si="11"/>
        <v>111</v>
      </c>
      <c r="R29" s="705" t="s">
        <v>14</v>
      </c>
      <c r="S29" s="706">
        <f t="shared" ref="S29:S47" si="12">F29</f>
        <v>100</v>
      </c>
      <c r="T29" s="705" t="s">
        <v>14</v>
      </c>
      <c r="U29" s="706">
        <f t="shared" ref="U29:U47" si="13">H29</f>
        <v>100</v>
      </c>
      <c r="V29" s="705" t="s">
        <v>14</v>
      </c>
      <c r="W29" s="706">
        <f t="shared" ref="W29:W47" si="14">J29</f>
        <v>100</v>
      </c>
      <c r="X29" s="3491"/>
      <c r="Y29" s="3717"/>
      <c r="Z29" s="3492">
        <f t="shared" ref="Z29:Z47" si="15">Q29</f>
        <v>111</v>
      </c>
      <c r="AA29" s="3495">
        <f t="shared" si="3"/>
        <v>1</v>
      </c>
      <c r="AB29" s="3495">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4"/>
      <c r="Q30" s="3494">
        <f t="shared" si="11"/>
        <v>111</v>
      </c>
      <c r="R30" s="705" t="s">
        <v>14</v>
      </c>
      <c r="S30" s="706">
        <f t="shared" si="12"/>
        <v>100</v>
      </c>
      <c r="T30" s="705" t="s">
        <v>14</v>
      </c>
      <c r="U30" s="706">
        <f t="shared" si="13"/>
        <v>100</v>
      </c>
      <c r="V30" s="705" t="s">
        <v>14</v>
      </c>
      <c r="W30" s="706">
        <f t="shared" si="14"/>
        <v>100</v>
      </c>
      <c r="X30" s="3491"/>
      <c r="Y30" s="3717"/>
      <c r="Z30" s="3492">
        <f t="shared" si="15"/>
        <v>111</v>
      </c>
      <c r="AA30" s="3495">
        <f t="shared" si="3"/>
        <v>1</v>
      </c>
      <c r="AB30" s="3495">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4"/>
      <c r="Q31" s="3494">
        <f t="shared" si="11"/>
        <v>111</v>
      </c>
      <c r="R31" s="705" t="s">
        <v>14</v>
      </c>
      <c r="S31" s="706">
        <f t="shared" si="12"/>
        <v>100</v>
      </c>
      <c r="T31" s="705" t="s">
        <v>14</v>
      </c>
      <c r="U31" s="706">
        <f t="shared" si="13"/>
        <v>100</v>
      </c>
      <c r="V31" s="705" t="s">
        <v>14</v>
      </c>
      <c r="W31" s="706">
        <f t="shared" si="14"/>
        <v>100</v>
      </c>
      <c r="X31" s="3491"/>
      <c r="Y31" s="3717"/>
      <c r="Z31" s="3492">
        <f t="shared" si="15"/>
        <v>111</v>
      </c>
      <c r="AA31" s="3495">
        <f t="shared" si="3"/>
        <v>1</v>
      </c>
      <c r="AB31" s="3495">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4"/>
      <c r="Q32" s="3494">
        <f t="shared" si="11"/>
        <v>111</v>
      </c>
      <c r="R32" s="705" t="s">
        <v>14</v>
      </c>
      <c r="S32" s="706">
        <f t="shared" si="12"/>
        <v>100</v>
      </c>
      <c r="T32" s="705" t="s">
        <v>14</v>
      </c>
      <c r="U32" s="706">
        <f t="shared" si="13"/>
        <v>100</v>
      </c>
      <c r="V32" s="705" t="s">
        <v>14</v>
      </c>
      <c r="W32" s="706">
        <f t="shared" si="14"/>
        <v>100</v>
      </c>
      <c r="X32" s="3491"/>
      <c r="Y32" s="3717"/>
      <c r="Z32" s="3492">
        <f t="shared" si="15"/>
        <v>111</v>
      </c>
      <c r="AA32" s="3495">
        <f t="shared" si="3"/>
        <v>1</v>
      </c>
      <c r="AB32" s="3495">
        <f t="shared" si="4"/>
        <v>1</v>
      </c>
      <c r="AC32" s="1962">
        <f t="shared" si="5"/>
        <v>1</v>
      </c>
    </row>
    <row r="33" spans="1:29" ht="15">
      <c r="A33" s="391" t="s">
        <v>1691</v>
      </c>
      <c r="B33" s="63" t="s">
        <v>1814</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c r="L33" s="2721"/>
      <c r="M33" s="2715"/>
      <c r="N33" s="2715"/>
      <c r="O33" s="2715"/>
      <c r="P33" s="3718" t="s">
        <v>1693</v>
      </c>
      <c r="Q33" s="3494" t="str">
        <f t="shared" si="11"/>
        <v>建筑类型</v>
      </c>
      <c r="R33" s="705" t="s">
        <v>14</v>
      </c>
      <c r="S33" s="706">
        <f t="shared" si="12"/>
        <v>100</v>
      </c>
      <c r="T33" s="705" t="s">
        <v>14</v>
      </c>
      <c r="U33" s="706">
        <f t="shared" si="13"/>
        <v>100</v>
      </c>
      <c r="V33" s="705" t="s">
        <v>14</v>
      </c>
      <c r="W33" s="706">
        <f t="shared" si="14"/>
        <v>100</v>
      </c>
      <c r="X33" s="3491"/>
      <c r="Y33" s="3721" t="s">
        <v>1693</v>
      </c>
      <c r="Z33" s="3492" t="str">
        <f t="shared" si="15"/>
        <v>建筑类型</v>
      </c>
      <c r="AA33" s="3495">
        <f t="shared" si="3"/>
        <v>1</v>
      </c>
      <c r="AB33" s="3495">
        <f t="shared" si="4"/>
        <v>1</v>
      </c>
      <c r="AC33" s="1962">
        <f t="shared" si="5"/>
        <v>1</v>
      </c>
    </row>
    <row r="34" spans="1:29" s="422" customFormat="1" ht="15">
      <c r="A34" s="419"/>
      <c r="B34" s="375" t="s">
        <v>1694</v>
      </c>
      <c r="C34" s="420">
        <f>D3</f>
        <v>80.64</v>
      </c>
      <c r="D34" s="127">
        <v>100</v>
      </c>
      <c r="E34" s="381">
        <v>58.31</v>
      </c>
      <c r="F34" s="376">
        <f>LOOKUP(E34,104:104,105:105)-LOOKUP(C34,104:104,105:105)+100</f>
        <v>100</v>
      </c>
      <c r="G34" s="380">
        <v>80.25</v>
      </c>
      <c r="H34" s="127">
        <f>LOOKUP(G34,104:104,105:105)-LOOKUP(C34,104:104,105:105)+100</f>
        <v>100</v>
      </c>
      <c r="I34" s="380">
        <v>68.41</v>
      </c>
      <c r="J34" s="127">
        <f>LOOKUP(I34,104:104,105:105)-LOOKUP(C34,104:104,105:105)+100</f>
        <v>100</v>
      </c>
      <c r="K34" s="562"/>
      <c r="L34" s="2720"/>
      <c r="M34" s="2722"/>
      <c r="N34" s="2722"/>
      <c r="O34" s="2722"/>
      <c r="P34" s="3719"/>
      <c r="Q34" s="707" t="str">
        <f t="shared" si="11"/>
        <v>项目建筑规模</v>
      </c>
      <c r="R34" s="708" t="s">
        <v>14</v>
      </c>
      <c r="S34" s="709">
        <f t="shared" si="12"/>
        <v>100</v>
      </c>
      <c r="T34" s="708" t="s">
        <v>14</v>
      </c>
      <c r="U34" s="709">
        <f t="shared" si="13"/>
        <v>100</v>
      </c>
      <c r="V34" s="708" t="s">
        <v>14</v>
      </c>
      <c r="W34" s="709">
        <f t="shared" si="14"/>
        <v>100</v>
      </c>
      <c r="X34" s="710"/>
      <c r="Y34" s="3721"/>
      <c r="Z34" s="711" t="str">
        <f t="shared" si="15"/>
        <v>项目建筑规模</v>
      </c>
      <c r="AA34" s="3495">
        <f t="shared" si="3"/>
        <v>1</v>
      </c>
      <c r="AB34" s="3495">
        <f t="shared" si="4"/>
        <v>1</v>
      </c>
      <c r="AC34" s="1962">
        <f t="shared" si="5"/>
        <v>1</v>
      </c>
    </row>
    <row r="35" spans="1:29" ht="15">
      <c r="A35" s="423"/>
      <c r="B35" s="375" t="s">
        <v>1695</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v>2</v>
      </c>
      <c r="L35" s="2721"/>
      <c r="M35" s="2715"/>
      <c r="N35" s="2715"/>
      <c r="O35" s="2715"/>
      <c r="P35" s="3719"/>
      <c r="Q35" s="3494" t="str">
        <f t="shared" si="11"/>
        <v>建筑结构</v>
      </c>
      <c r="R35" s="705" t="s">
        <v>14</v>
      </c>
      <c r="S35" s="706">
        <f t="shared" si="12"/>
        <v>100</v>
      </c>
      <c r="T35" s="705" t="s">
        <v>14</v>
      </c>
      <c r="U35" s="706">
        <f t="shared" si="13"/>
        <v>100</v>
      </c>
      <c r="V35" s="705" t="s">
        <v>14</v>
      </c>
      <c r="W35" s="706">
        <f t="shared" si="14"/>
        <v>100</v>
      </c>
      <c r="X35" s="3491"/>
      <c r="Y35" s="3721"/>
      <c r="Z35" s="3492" t="str">
        <f t="shared" si="15"/>
        <v>建筑结构</v>
      </c>
      <c r="AA35" s="3495">
        <f t="shared" si="3"/>
        <v>1</v>
      </c>
      <c r="AB35" s="3495">
        <f t="shared" si="4"/>
        <v>1</v>
      </c>
      <c r="AC35" s="1962">
        <f t="shared" si="5"/>
        <v>1</v>
      </c>
    </row>
    <row r="36" spans="1:29" ht="15">
      <c r="A36" s="423"/>
      <c r="B36" s="375" t="s">
        <v>1782</v>
      </c>
      <c r="C36" s="411" t="s">
        <v>3450</v>
      </c>
      <c r="D36" s="386">
        <v>100</v>
      </c>
      <c r="E36" s="411" t="s">
        <v>3450</v>
      </c>
      <c r="F36" s="412">
        <f>SUMIF(108:108,E36,109:109)-SUMIF(108:108,C36,109:109)+100</f>
        <v>100</v>
      </c>
      <c r="G36" s="411" t="s">
        <v>3450</v>
      </c>
      <c r="H36" s="386">
        <f>SUMIF(108:108,G36,109:109)-SUMIF(108:108,C36,109:109)+100</f>
        <v>100</v>
      </c>
      <c r="I36" s="411" t="s">
        <v>3450</v>
      </c>
      <c r="J36" s="386">
        <f>SUMIF(108:108,I36,109:109)-SUMIF(108:108,C36,109:109)+100</f>
        <v>100</v>
      </c>
      <c r="K36" s="561">
        <v>2</v>
      </c>
      <c r="L36" s="2721"/>
      <c r="M36" s="2715"/>
      <c r="N36" s="2715"/>
      <c r="O36" s="2715"/>
      <c r="P36" s="3719"/>
      <c r="Q36" s="3494" t="str">
        <f t="shared" si="11"/>
        <v>公共部分装修</v>
      </c>
      <c r="R36" s="705" t="s">
        <v>14</v>
      </c>
      <c r="S36" s="706">
        <f t="shared" si="12"/>
        <v>100</v>
      </c>
      <c r="T36" s="705" t="s">
        <v>14</v>
      </c>
      <c r="U36" s="706">
        <f t="shared" si="13"/>
        <v>100</v>
      </c>
      <c r="V36" s="705" t="s">
        <v>14</v>
      </c>
      <c r="W36" s="706">
        <f t="shared" si="14"/>
        <v>100</v>
      </c>
      <c r="X36" s="3491"/>
      <c r="Y36" s="3721"/>
      <c r="Z36" s="3492" t="str">
        <f t="shared" si="15"/>
        <v>公共部分装修</v>
      </c>
      <c r="AA36" s="3495">
        <f t="shared" si="3"/>
        <v>1</v>
      </c>
      <c r="AB36" s="3495">
        <f t="shared" si="4"/>
        <v>1</v>
      </c>
      <c r="AC36" s="1962">
        <f t="shared" si="5"/>
        <v>1</v>
      </c>
    </row>
    <row r="37" spans="1:29" ht="15">
      <c r="A37" s="423"/>
      <c r="B37" s="375" t="s">
        <v>1783</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v>1</v>
      </c>
      <c r="L37" s="2721"/>
      <c r="M37" s="2715"/>
      <c r="N37" s="2715"/>
      <c r="O37" s="2715"/>
      <c r="P37" s="3719"/>
      <c r="Q37" s="3494" t="str">
        <f t="shared" si="11"/>
        <v>成新度</v>
      </c>
      <c r="R37" s="705" t="s">
        <v>14</v>
      </c>
      <c r="S37" s="706">
        <f t="shared" si="12"/>
        <v>100</v>
      </c>
      <c r="T37" s="705" t="s">
        <v>14</v>
      </c>
      <c r="U37" s="706">
        <f t="shared" si="13"/>
        <v>100</v>
      </c>
      <c r="V37" s="705" t="s">
        <v>14</v>
      </c>
      <c r="W37" s="706">
        <f t="shared" si="14"/>
        <v>100</v>
      </c>
      <c r="X37" s="3491"/>
      <c r="Y37" s="3721"/>
      <c r="Z37" s="3492" t="str">
        <f t="shared" si="15"/>
        <v>成新度</v>
      </c>
      <c r="AA37" s="3495">
        <f t="shared" si="3"/>
        <v>1</v>
      </c>
      <c r="AB37" s="3495">
        <f t="shared" si="4"/>
        <v>1</v>
      </c>
      <c r="AC37" s="1962">
        <f t="shared" si="5"/>
        <v>1</v>
      </c>
    </row>
    <row r="38" spans="1:29" s="108" customFormat="1" ht="15">
      <c r="A38" s="424"/>
      <c r="B38" s="375" t="s">
        <v>1815</v>
      </c>
      <c r="C38" s="411" t="s">
        <v>3419</v>
      </c>
      <c r="D38" s="127">
        <v>100</v>
      </c>
      <c r="E38" s="411" t="s">
        <v>3419</v>
      </c>
      <c r="F38" s="412">
        <f>SUMIF(113:113,E38,114:114)-SUMIF(113:113,C38,114:114)+100</f>
        <v>100</v>
      </c>
      <c r="G38" s="411" t="s">
        <v>3419</v>
      </c>
      <c r="H38" s="386">
        <f>SUMIF(113:113,G38,114:114)-SUMIF(113:113,C38,114:114)+100</f>
        <v>100</v>
      </c>
      <c r="I38" s="411" t="s">
        <v>3419</v>
      </c>
      <c r="J38" s="386">
        <f>SUMIF(113:113,I38,114:114)-SUMIF(113:113,C38,114:114)+100</f>
        <v>100</v>
      </c>
      <c r="K38" s="561">
        <v>2</v>
      </c>
      <c r="L38" s="2716"/>
      <c r="M38" s="2717"/>
      <c r="N38" s="2717"/>
      <c r="O38" s="2717"/>
      <c r="P38" s="3719"/>
      <c r="Q38" s="3488" t="str">
        <f t="shared" si="11"/>
        <v>写字楼等级</v>
      </c>
      <c r="R38" s="701" t="s">
        <v>14</v>
      </c>
      <c r="S38" s="702">
        <f t="shared" si="12"/>
        <v>100</v>
      </c>
      <c r="T38" s="701" t="s">
        <v>14</v>
      </c>
      <c r="U38" s="702">
        <f t="shared" si="13"/>
        <v>100</v>
      </c>
      <c r="V38" s="701" t="s">
        <v>14</v>
      </c>
      <c r="W38" s="702">
        <f t="shared" si="14"/>
        <v>100</v>
      </c>
      <c r="X38" s="703"/>
      <c r="Y38" s="3721"/>
      <c r="Z38" s="3470" t="str">
        <f t="shared" si="15"/>
        <v>写字楼等级</v>
      </c>
      <c r="AA38" s="704">
        <f t="shared" si="3"/>
        <v>1</v>
      </c>
      <c r="AB38" s="704">
        <f t="shared" si="4"/>
        <v>1</v>
      </c>
      <c r="AC38" s="1959">
        <f t="shared" si="5"/>
        <v>1</v>
      </c>
    </row>
    <row r="39" spans="1:29" ht="15">
      <c r="A39" s="423"/>
      <c r="B39" s="375" t="s">
        <v>1816</v>
      </c>
      <c r="C39" s="411" t="s">
        <v>3447</v>
      </c>
      <c r="D39" s="386">
        <v>100</v>
      </c>
      <c r="E39" s="411" t="s">
        <v>3447</v>
      </c>
      <c r="F39" s="412">
        <f>SUMIF(115:115,E39,116:116)-SUMIF(115:115,C39,116:116)+100</f>
        <v>100</v>
      </c>
      <c r="G39" s="411" t="s">
        <v>3447</v>
      </c>
      <c r="H39" s="386">
        <f>SUMIF(115:115,G39,116:116)-SUMIF(115:115,C39,116:116)+100</f>
        <v>100</v>
      </c>
      <c r="I39" s="411" t="s">
        <v>3447</v>
      </c>
      <c r="J39" s="386">
        <f>SUMIF(115:115,I39,116:116)-SUMIF(115:115,C39,116:116)+100</f>
        <v>100</v>
      </c>
      <c r="K39" s="561">
        <v>2</v>
      </c>
      <c r="L39" s="2721"/>
      <c r="M39" s="2715"/>
      <c r="N39" s="2715"/>
      <c r="O39" s="2715"/>
      <c r="P39" s="3719" t="s">
        <v>1693</v>
      </c>
      <c r="Q39" s="3494" t="str">
        <f t="shared" si="11"/>
        <v>物业管理</v>
      </c>
      <c r="R39" s="705" t="s">
        <v>14</v>
      </c>
      <c r="S39" s="706">
        <f t="shared" si="12"/>
        <v>100</v>
      </c>
      <c r="T39" s="705" t="s">
        <v>14</v>
      </c>
      <c r="U39" s="706">
        <f t="shared" si="13"/>
        <v>100</v>
      </c>
      <c r="V39" s="705" t="s">
        <v>14</v>
      </c>
      <c r="W39" s="706">
        <f t="shared" si="14"/>
        <v>100</v>
      </c>
      <c r="X39" s="3491"/>
      <c r="Y39" s="3721" t="s">
        <v>1693</v>
      </c>
      <c r="Z39" s="3492" t="str">
        <f t="shared" si="15"/>
        <v>物业管理</v>
      </c>
      <c r="AA39" s="3495">
        <f t="shared" si="3"/>
        <v>1</v>
      </c>
      <c r="AB39" s="3495">
        <f t="shared" si="4"/>
        <v>1</v>
      </c>
      <c r="AC39" s="1962">
        <f t="shared" si="5"/>
        <v>1</v>
      </c>
    </row>
    <row r="40" spans="1:29" ht="15">
      <c r="A40" s="423"/>
      <c r="B40" s="375" t="s">
        <v>1784</v>
      </c>
      <c r="C40" s="411" t="s">
        <v>3431</v>
      </c>
      <c r="D40" s="386">
        <v>100</v>
      </c>
      <c r="E40" s="411" t="s">
        <v>3431</v>
      </c>
      <c r="F40" s="412">
        <f>SUMIF(117:117,E40,118:118)-SUMIF(117:117,C40,118:118)+100</f>
        <v>100</v>
      </c>
      <c r="G40" s="411" t="s">
        <v>3431</v>
      </c>
      <c r="H40" s="386">
        <f>SUMIF(117:117,G40,118:118)-SUMIF(117:117,C40,118:118)+100</f>
        <v>100</v>
      </c>
      <c r="I40" s="411" t="s">
        <v>3431</v>
      </c>
      <c r="J40" s="386">
        <f>SUMIF(117:117,I40,118:118)-SUMIF(117:117,C40,118:118)+100</f>
        <v>100</v>
      </c>
      <c r="K40" s="561">
        <v>1</v>
      </c>
      <c r="L40" s="2721"/>
      <c r="M40" s="2715"/>
      <c r="N40" s="2715"/>
      <c r="O40" s="2715"/>
      <c r="P40" s="3719"/>
      <c r="Q40" s="3494" t="str">
        <f t="shared" si="11"/>
        <v>市政基础设施</v>
      </c>
      <c r="R40" s="705" t="s">
        <v>14</v>
      </c>
      <c r="S40" s="706">
        <f t="shared" si="12"/>
        <v>100</v>
      </c>
      <c r="T40" s="705" t="s">
        <v>14</v>
      </c>
      <c r="U40" s="706">
        <f t="shared" si="13"/>
        <v>100</v>
      </c>
      <c r="V40" s="705" t="s">
        <v>14</v>
      </c>
      <c r="W40" s="706">
        <f t="shared" si="14"/>
        <v>100</v>
      </c>
      <c r="X40" s="3491"/>
      <c r="Y40" s="3721"/>
      <c r="Z40" s="3492" t="str">
        <f t="shared" si="15"/>
        <v>市政基础设施</v>
      </c>
      <c r="AA40" s="3495">
        <f t="shared" si="3"/>
        <v>1</v>
      </c>
      <c r="AB40" s="3495">
        <f t="shared" si="4"/>
        <v>1</v>
      </c>
      <c r="AC40" s="1962">
        <f t="shared" si="5"/>
        <v>1</v>
      </c>
    </row>
    <row r="41" spans="1:29" ht="15">
      <c r="A41" s="423"/>
      <c r="B41" s="375" t="s">
        <v>1786</v>
      </c>
      <c r="C41" s="565" t="s">
        <v>3442</v>
      </c>
      <c r="D41" s="386">
        <v>100</v>
      </c>
      <c r="E41" s="565" t="s">
        <v>3442</v>
      </c>
      <c r="F41" s="412">
        <f>SUMIF(119:119,E41,120:120)-SUMIF(119:119,C41,120:120)+100</f>
        <v>100</v>
      </c>
      <c r="G41" s="565" t="s">
        <v>3442</v>
      </c>
      <c r="H41" s="386">
        <f>SUMIF(119:119,G41,120:120)-SUMIF(119:119,C41,120:120)+100</f>
        <v>100</v>
      </c>
      <c r="I41" s="565" t="s">
        <v>3442</v>
      </c>
      <c r="J41" s="386">
        <f>SUMIF(119:119,I41,120:120)-SUMIF(119:119,C41,120:120)+100</f>
        <v>100</v>
      </c>
      <c r="K41" s="561">
        <v>1</v>
      </c>
      <c r="L41" s="2721"/>
      <c r="M41" s="2715"/>
      <c r="N41" s="2715"/>
      <c r="O41" s="2715"/>
      <c r="P41" s="3719"/>
      <c r="Q41" s="3494" t="str">
        <f t="shared" si="11"/>
        <v>层高</v>
      </c>
      <c r="R41" s="705" t="s">
        <v>14</v>
      </c>
      <c r="S41" s="706">
        <f t="shared" si="12"/>
        <v>100</v>
      </c>
      <c r="T41" s="705" t="s">
        <v>14</v>
      </c>
      <c r="U41" s="706">
        <f t="shared" si="13"/>
        <v>100</v>
      </c>
      <c r="V41" s="705" t="s">
        <v>14</v>
      </c>
      <c r="W41" s="706">
        <f t="shared" si="14"/>
        <v>100</v>
      </c>
      <c r="X41" s="3491"/>
      <c r="Y41" s="3721"/>
      <c r="Z41" s="3492" t="str">
        <f t="shared" si="15"/>
        <v>层高</v>
      </c>
      <c r="AA41" s="3495">
        <f t="shared" si="3"/>
        <v>1</v>
      </c>
      <c r="AB41" s="3495">
        <f t="shared" si="4"/>
        <v>1</v>
      </c>
      <c r="AC41" s="1962">
        <f t="shared" si="5"/>
        <v>1</v>
      </c>
    </row>
    <row r="42" spans="1:29" s="422" customFormat="1" ht="15">
      <c r="A42" s="419"/>
      <c r="B42" s="3493" t="s">
        <v>1817</v>
      </c>
      <c r="C42" s="385">
        <f>D3</f>
        <v>80.64</v>
      </c>
      <c r="D42" s="386">
        <v>100</v>
      </c>
      <c r="E42" s="385">
        <v>58.31</v>
      </c>
      <c r="F42" s="412">
        <f>SUMIF(121:121,E42,122:122)-SUMIF(121:121,C42,122:122)+100</f>
        <v>100</v>
      </c>
      <c r="G42" s="385">
        <v>80.25</v>
      </c>
      <c r="H42" s="386">
        <f>SUMIF(121:121,G42,122:122)-SUMIF(121:121,C42,122:122)+100</f>
        <v>100</v>
      </c>
      <c r="I42" s="385">
        <v>68.41</v>
      </c>
      <c r="J42" s="386">
        <f>SUMIF(121:121,I42,122:122)-SUMIF(121:121,C42,122:122)+100</f>
        <v>100</v>
      </c>
      <c r="K42" s="562"/>
      <c r="L42" s="2720"/>
      <c r="M42" s="2722"/>
      <c r="N42" s="2722"/>
      <c r="O42" s="2722"/>
      <c r="P42" s="3719"/>
      <c r="Q42" s="707" t="str">
        <f t="shared" si="11"/>
        <v>单套建筑面积</v>
      </c>
      <c r="R42" s="708" t="s">
        <v>14</v>
      </c>
      <c r="S42" s="709">
        <f t="shared" si="12"/>
        <v>100</v>
      </c>
      <c r="T42" s="708" t="s">
        <v>14</v>
      </c>
      <c r="U42" s="709">
        <f t="shared" si="13"/>
        <v>100</v>
      </c>
      <c r="V42" s="708" t="s">
        <v>14</v>
      </c>
      <c r="W42" s="709">
        <f t="shared" si="14"/>
        <v>100</v>
      </c>
      <c r="X42" s="710"/>
      <c r="Y42" s="3721"/>
      <c r="Z42" s="711" t="str">
        <f t="shared" si="15"/>
        <v>单套建筑面积</v>
      </c>
      <c r="AA42" s="3495">
        <f t="shared" si="3"/>
        <v>1</v>
      </c>
      <c r="AB42" s="3495">
        <f t="shared" si="4"/>
        <v>1</v>
      </c>
      <c r="AC42" s="1962">
        <f t="shared" si="5"/>
        <v>1</v>
      </c>
    </row>
    <row r="43" spans="1:29" ht="15">
      <c r="A43" s="423"/>
      <c r="B43" s="375" t="s">
        <v>1789</v>
      </c>
      <c r="C43" s="411" t="s">
        <v>3456</v>
      </c>
      <c r="D43" s="386">
        <v>100</v>
      </c>
      <c r="E43" s="411" t="s">
        <v>3450</v>
      </c>
      <c r="F43" s="412">
        <f>SUMIF(123:123,E43,124:124)-SUMIF(123:123,C43,124:124)+100</f>
        <v>102</v>
      </c>
      <c r="G43" s="411" t="s">
        <v>3450</v>
      </c>
      <c r="H43" s="386">
        <f>SUMIF(123:123,G43,124:124)-SUMIF(123:123,C43,124:124)+100</f>
        <v>102</v>
      </c>
      <c r="I43" s="411" t="s">
        <v>3450</v>
      </c>
      <c r="J43" s="386">
        <f>SUMIF(123:123,I43,124:124)-SUMIF(123:123,C43,124:124)+100</f>
        <v>102</v>
      </c>
      <c r="K43" s="561">
        <v>2</v>
      </c>
      <c r="L43" s="2721"/>
      <c r="M43" s="2715"/>
      <c r="N43" s="2715"/>
      <c r="O43" s="2715"/>
      <c r="P43" s="3719"/>
      <c r="Q43" s="3494" t="str">
        <f t="shared" si="11"/>
        <v>内部装修</v>
      </c>
      <c r="R43" s="705" t="s">
        <v>14</v>
      </c>
      <c r="S43" s="706">
        <f t="shared" si="12"/>
        <v>102</v>
      </c>
      <c r="T43" s="705" t="s">
        <v>14</v>
      </c>
      <c r="U43" s="706">
        <f t="shared" si="13"/>
        <v>102</v>
      </c>
      <c r="V43" s="705" t="s">
        <v>14</v>
      </c>
      <c r="W43" s="706">
        <f t="shared" si="14"/>
        <v>102</v>
      </c>
      <c r="X43" s="3491"/>
      <c r="Y43" s="3721"/>
      <c r="Z43" s="3492" t="str">
        <f t="shared" si="15"/>
        <v>内部装修</v>
      </c>
      <c r="AA43" s="3495">
        <f t="shared" si="3"/>
        <v>0.98039215686274506</v>
      </c>
      <c r="AB43" s="3495">
        <f t="shared" si="4"/>
        <v>0.98039215686274506</v>
      </c>
      <c r="AC43" s="1962">
        <f t="shared" si="5"/>
        <v>0.98039215686274506</v>
      </c>
    </row>
    <row r="44" spans="1:29" ht="15.75" thickBot="1">
      <c r="A44" s="423"/>
      <c r="B44" s="375" t="s">
        <v>1704</v>
      </c>
      <c r="C44" s="411" t="s">
        <v>3451</v>
      </c>
      <c r="D44" s="386">
        <v>100</v>
      </c>
      <c r="E44" s="1906" t="s">
        <v>3451</v>
      </c>
      <c r="F44" s="412">
        <f>SUMIF(125:125,E44,126:126)-SUMIF(125:125,C44,126:126)+100</f>
        <v>100</v>
      </c>
      <c r="G44" s="1906" t="s">
        <v>3451</v>
      </c>
      <c r="H44" s="386">
        <f>SUMIF(125:125,G44,126:126)-SUMIF(125:125,C44,126:126)+100</f>
        <v>100</v>
      </c>
      <c r="I44" s="1906" t="s">
        <v>3451</v>
      </c>
      <c r="J44" s="386">
        <f>SUMIF(125:125,I44,126:126)-SUMIF(125:125,C44,126:126)+100</f>
        <v>100</v>
      </c>
      <c r="K44" s="561">
        <v>2</v>
      </c>
      <c r="L44" s="2721"/>
      <c r="M44" s="2715"/>
      <c r="N44" s="2715"/>
      <c r="O44" s="2715"/>
      <c r="P44" s="3719"/>
      <c r="Q44" s="3494" t="str">
        <f t="shared" si="11"/>
        <v>内部装修维护情况</v>
      </c>
      <c r="R44" s="705" t="s">
        <v>14</v>
      </c>
      <c r="S44" s="706">
        <f t="shared" si="12"/>
        <v>100</v>
      </c>
      <c r="T44" s="705" t="s">
        <v>14</v>
      </c>
      <c r="U44" s="706">
        <f t="shared" si="13"/>
        <v>100</v>
      </c>
      <c r="V44" s="705" t="s">
        <v>14</v>
      </c>
      <c r="W44" s="706">
        <f t="shared" si="14"/>
        <v>100</v>
      </c>
      <c r="X44" s="3491"/>
      <c r="Y44" s="3721"/>
      <c r="Z44" s="3492" t="str">
        <f t="shared" si="15"/>
        <v>内部装修维护情况</v>
      </c>
      <c r="AA44" s="3495">
        <f t="shared" si="3"/>
        <v>1</v>
      </c>
      <c r="AB44" s="3495">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9"/>
      <c r="Q45" s="3488">
        <f t="shared" si="11"/>
        <v>111</v>
      </c>
      <c r="R45" s="701" t="s">
        <v>14</v>
      </c>
      <c r="S45" s="702">
        <f t="shared" si="12"/>
        <v>100</v>
      </c>
      <c r="T45" s="701" t="s">
        <v>14</v>
      </c>
      <c r="U45" s="702">
        <f t="shared" si="13"/>
        <v>100</v>
      </c>
      <c r="V45" s="701" t="s">
        <v>14</v>
      </c>
      <c r="W45" s="702">
        <f t="shared" si="14"/>
        <v>100</v>
      </c>
      <c r="X45" s="703"/>
      <c r="Y45" s="3721"/>
      <c r="Z45" s="3470">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9"/>
      <c r="Q46" s="3494">
        <f t="shared" si="11"/>
        <v>111</v>
      </c>
      <c r="R46" s="705" t="s">
        <v>14</v>
      </c>
      <c r="S46" s="706">
        <f t="shared" si="12"/>
        <v>100</v>
      </c>
      <c r="T46" s="705" t="s">
        <v>14</v>
      </c>
      <c r="U46" s="706">
        <f t="shared" si="13"/>
        <v>100</v>
      </c>
      <c r="V46" s="705" t="s">
        <v>14</v>
      </c>
      <c r="W46" s="706">
        <f t="shared" si="14"/>
        <v>100</v>
      </c>
      <c r="X46" s="3491"/>
      <c r="Y46" s="3721"/>
      <c r="Z46" s="3492">
        <f t="shared" si="15"/>
        <v>111</v>
      </c>
      <c r="AA46" s="3495">
        <f t="shared" si="3"/>
        <v>1</v>
      </c>
      <c r="AB46" s="3495">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0"/>
      <c r="Q47" s="3494">
        <f t="shared" si="11"/>
        <v>111</v>
      </c>
      <c r="R47" s="705" t="s">
        <v>14</v>
      </c>
      <c r="S47" s="706">
        <f t="shared" si="12"/>
        <v>100</v>
      </c>
      <c r="T47" s="705" t="s">
        <v>14</v>
      </c>
      <c r="U47" s="706">
        <f t="shared" si="13"/>
        <v>100</v>
      </c>
      <c r="V47" s="705" t="s">
        <v>14</v>
      </c>
      <c r="W47" s="706">
        <f t="shared" si="14"/>
        <v>100</v>
      </c>
      <c r="X47" s="3491"/>
      <c r="Y47" s="3722"/>
      <c r="Z47" s="3492">
        <f t="shared" si="15"/>
        <v>111</v>
      </c>
      <c r="AA47" s="3495">
        <f t="shared" si="3"/>
        <v>1</v>
      </c>
      <c r="AB47" s="3495">
        <f t="shared" si="4"/>
        <v>1</v>
      </c>
      <c r="AC47" s="1962">
        <f t="shared" si="5"/>
        <v>1</v>
      </c>
    </row>
    <row r="48" spans="1:29" ht="15">
      <c r="A48" s="430" t="s">
        <v>1705</v>
      </c>
      <c r="B48" s="431"/>
      <c r="C48" s="1154" t="s">
        <v>0</v>
      </c>
      <c r="D48" s="1155"/>
      <c r="E48" s="1156">
        <v>40131</v>
      </c>
      <c r="F48" s="1157"/>
      <c r="G48" s="1158">
        <v>39876</v>
      </c>
      <c r="H48" s="1159"/>
      <c r="I48" s="1156">
        <v>43854</v>
      </c>
      <c r="J48" s="436"/>
      <c r="K48" s="714"/>
      <c r="L48" s="2723"/>
      <c r="M48" s="2715"/>
      <c r="N48" s="2715"/>
      <c r="O48" s="2715"/>
      <c r="P48" s="3725" t="str">
        <f>A48</f>
        <v>成交单价（元/平方米）</v>
      </c>
      <c r="Q48" s="3714"/>
      <c r="R48" s="3715">
        <f>E48</f>
        <v>40131</v>
      </c>
      <c r="S48" s="3715"/>
      <c r="T48" s="3715">
        <f>G48</f>
        <v>39876</v>
      </c>
      <c r="U48" s="3715"/>
      <c r="V48" s="3715">
        <f>I48</f>
        <v>43854</v>
      </c>
      <c r="W48" s="3715"/>
      <c r="X48" s="397"/>
      <c r="Y48" s="712"/>
      <c r="Z48" s="397"/>
      <c r="AA48" s="397"/>
      <c r="AB48" s="397"/>
      <c r="AC48" s="578"/>
    </row>
    <row r="49" spans="1:29" ht="15.75" thickBot="1">
      <c r="A49" s="437" t="s">
        <v>1706</v>
      </c>
      <c r="B49" s="438"/>
      <c r="C49" s="1160">
        <f>R50</f>
        <v>39409</v>
      </c>
      <c r="D49" s="2317" t="s">
        <v>2134</v>
      </c>
      <c r="E49" s="1161">
        <f>R49</f>
        <v>38573</v>
      </c>
      <c r="F49" s="2318"/>
      <c r="G49" s="1160">
        <f>T49</f>
        <v>38328</v>
      </c>
      <c r="H49" s="2318"/>
      <c r="I49" s="1161">
        <f>V49</f>
        <v>41325</v>
      </c>
      <c r="J49" s="2318"/>
      <c r="K49" s="2320">
        <f>F49+H49+J49</f>
        <v>0</v>
      </c>
      <c r="L49" s="2723"/>
      <c r="M49" s="2715"/>
      <c r="N49" s="2715"/>
      <c r="O49" s="2715"/>
      <c r="P49" s="3725" t="str">
        <f>A49</f>
        <v>比较价值（元/平方米）</v>
      </c>
      <c r="Q49" s="3714"/>
      <c r="R49" s="3715">
        <f>IF(F1="售价",ROUND(PRODUCT(R48,AA7:AA47),0),ROUND(PRODUCT(R48,AA7:AA47),1))</f>
        <v>38573</v>
      </c>
      <c r="S49" s="3715"/>
      <c r="T49" s="3715">
        <f>IF(F1="售价",ROUND(PRODUCT(T48,AB7:AB47),0),ROUND(PRODUCT(T48,AB7:AB47),1))</f>
        <v>38328</v>
      </c>
      <c r="U49" s="3715"/>
      <c r="V49" s="3715">
        <f>IF(F1="售价",ROUND(PRODUCT(V48,AC7:AC47),0),ROUND(PRODUCT(V48,AC7:AC47),1))</f>
        <v>41325</v>
      </c>
      <c r="W49" s="3715"/>
      <c r="X49" s="397"/>
      <c r="Y49" s="397"/>
      <c r="Z49" s="397"/>
      <c r="AA49" s="397"/>
      <c r="AB49" s="397"/>
      <c r="AC49" s="578"/>
    </row>
    <row r="50" spans="1:29" ht="15.75" thickBot="1">
      <c r="A50" s="441" t="s">
        <v>1707</v>
      </c>
      <c r="B50" s="442"/>
      <c r="C50" s="1163">
        <f>R50</f>
        <v>39409</v>
      </c>
      <c r="D50" s="1163"/>
      <c r="E50" s="1163"/>
      <c r="F50" s="1163"/>
      <c r="G50" s="1163"/>
      <c r="H50" s="1163"/>
      <c r="I50" s="1163"/>
      <c r="J50" s="443"/>
      <c r="K50" s="715"/>
      <c r="L50" s="2723"/>
      <c r="M50" s="2715"/>
      <c r="N50" s="2715"/>
      <c r="O50" s="2715"/>
      <c r="P50" s="3757" t="str">
        <f>A50</f>
        <v>估价对象XX用房的比较价值（楼面单价，元/平方米）</v>
      </c>
      <c r="Q50" s="3758"/>
      <c r="R50" s="3759">
        <f>IF(F1="售价",ROUND(IF(D49="简单平均",AVERAGE(R49:V49),R49*F49+T49*H49+V49*J49),0),ROUND(IF(D49="简单平均",AVERAGE(R49:V49),R49*F49+T49*H49+V49*J49),1))</f>
        <v>39409</v>
      </c>
      <c r="S50" s="3759"/>
      <c r="T50" s="3759"/>
      <c r="U50" s="3759"/>
      <c r="V50" s="3759"/>
      <c r="W50" s="375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1708</v>
      </c>
      <c r="D53" s="447"/>
      <c r="E53" s="448">
        <f>IF(E48&lt;E49,E49/E48-1,E48/E49-1)</f>
        <v>4.0390947035491065E-2</v>
      </c>
      <c r="F53" s="449" t="str">
        <f>IF(OR(E53&gt;=0.3,E53&lt;=-0.3),"超过30%","")</f>
        <v/>
      </c>
      <c r="G53" s="448">
        <f>IF(G48&lt;G49,G49/G48-1,G48/G49-1)</f>
        <v>4.038822792736374E-2</v>
      </c>
      <c r="H53" s="449" t="str">
        <f>IF(OR(G53&gt;=0.3,G53&lt;=-0.3),"超过30%","")</f>
        <v/>
      </c>
      <c r="I53" s="448">
        <f>IF(I48&lt;I49,I49/I48-1,I48/I49-1)</f>
        <v>6.1197822141560776E-2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1709</v>
      </c>
      <c r="D54" s="450"/>
      <c r="E54" s="448">
        <f>IF(E49&lt;G49,G49/E49-1,E49/G49-1)</f>
        <v>6.3921936965143367E-3</v>
      </c>
      <c r="F54" s="449" t="str">
        <f>IF(OR(E54&gt;=0.2,E54&lt;=-0.2),"超过20%","")</f>
        <v/>
      </c>
      <c r="G54" s="448">
        <f>IF(G49&lt;I49,I49/G49-1,G49/I49-1)</f>
        <v>7.8193487789605554E-2</v>
      </c>
      <c r="H54" s="449" t="str">
        <f>IF(OR(G54&gt;=0.2,G54&lt;=-0.2),"超过20%","")</f>
        <v/>
      </c>
      <c r="I54" s="448">
        <f>IF(I49&lt;E49,E49/I49-1,I49/E49-1)</f>
        <v>7.1345241490161415E-2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1710</v>
      </c>
      <c r="D55" s="450"/>
      <c r="E55" s="448">
        <f>IF(E48&lt;G48,G48/E48-1,E48/G48-1)</f>
        <v>6.3948239542581664E-3</v>
      </c>
      <c r="F55" s="449" t="str">
        <f>IF(OR(E55&gt;=0.3,E55&lt;=-0.3),"超过30%","")</f>
        <v/>
      </c>
      <c r="G55" s="448">
        <f>IF(G48&lt;I48,I48/G48-1,G48/I48-1)</f>
        <v>9.9759253686428018E-2</v>
      </c>
      <c r="H55" s="449" t="str">
        <f>IF(OR(G55&gt;=0.3,G55&lt;=-0.3),"超过30%","")</f>
        <v/>
      </c>
      <c r="I55" s="448">
        <f>IF(I48&lt;E48,E48/I48-1,I48/E48-1)</f>
        <v>9.2771174403827539E-2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1711</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1715</v>
      </c>
      <c r="D62" s="3461" t="s">
        <v>3402</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f>'比较法-办公售价413'!D63</f>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t="s">
        <v>3436</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6.5" hidden="1" thickTop="1" thickBot="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6.5" hidden="1" thickTop="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6.5" hidden="1" thickTop="1" thickBot="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6.5" hidden="1" thickTop="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6.5" hidden="1" thickTop="1" thickBot="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6.5" hidden="1" thickTop="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3466" t="s">
        <v>3433</v>
      </c>
      <c r="D87" s="3466" t="s">
        <v>3434</v>
      </c>
      <c r="E87" s="3466" t="s">
        <v>3405</v>
      </c>
      <c r="F87" s="3466" t="s">
        <v>3406</v>
      </c>
      <c r="G87" s="3466" t="s">
        <v>3407</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3" t="s">
        <v>3437</v>
      </c>
      <c r="D89" s="3463" t="s">
        <v>3438</v>
      </c>
      <c r="E89" s="3463" t="s">
        <v>3439</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6.5" hidden="1" thickTop="1" thickBot="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6.5" hidden="1" thickTop="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6.5" hidden="1" thickTop="1" thickBot="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6.5" hidden="1" thickTop="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6.5" hidden="1" thickTop="1" thickBot="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6.5" hidden="1" thickTop="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6.5" hidden="1" thickTop="1" thickBot="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6.5" hidden="1" thickTop="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1691</v>
      </c>
      <c r="B101" s="477" t="s">
        <v>1733</v>
      </c>
      <c r="C101" s="3464" t="s">
        <v>3440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1734</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v>100</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463" t="s">
        <v>3441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463" t="s">
        <v>3415</v>
      </c>
      <c r="D108" s="3463" t="s">
        <v>3416</v>
      </c>
      <c r="E108" s="3463" t="s">
        <v>3417</v>
      </c>
      <c r="F108" s="3465" t="s">
        <v>3418</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463" t="s">
        <v>3449</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463" t="s">
        <v>3448</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463" t="s">
        <v>3444</v>
      </c>
      <c r="D117" s="3463" t="s">
        <v>3445</v>
      </c>
      <c r="E117" s="3463" t="s">
        <v>3446</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465" t="s">
        <v>3443</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463" t="s">
        <v>3415</v>
      </c>
      <c r="D123" s="3463" t="s">
        <v>3416</v>
      </c>
      <c r="E123" s="3463" t="s">
        <v>3417</v>
      </c>
      <c r="F123" s="3465" t="s">
        <v>3418</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29" priority="20" stopIfTrue="1" operator="containsText" text="超过">
      <formula>NOT(ISERROR(SEARCH("超过",F53)))</formula>
    </cfRule>
  </conditionalFormatting>
  <conditionalFormatting sqref="H55">
    <cfRule type="containsText" dxfId="28" priority="19" stopIfTrue="1" operator="containsText" text="超过">
      <formula>NOT(ISERROR(SEARCH("超过",H55)))</formula>
    </cfRule>
  </conditionalFormatting>
  <conditionalFormatting sqref="F55">
    <cfRule type="containsText" dxfId="27" priority="18" stopIfTrue="1" operator="containsText" text="超过">
      <formula>NOT(ISERROR(SEARCH("超过",F55)))</formula>
    </cfRule>
  </conditionalFormatting>
  <conditionalFormatting sqref="F54 H54">
    <cfRule type="containsText" dxfId="26" priority="17" stopIfTrue="1" operator="containsText" text="超过">
      <formula>NOT(ISERROR(SEARCH("超过",F54)))</formula>
    </cfRule>
  </conditionalFormatting>
  <conditionalFormatting sqref="E53">
    <cfRule type="expression" dxfId="25" priority="16" stopIfTrue="1">
      <formula>$F$53="超过30%"</formula>
    </cfRule>
  </conditionalFormatting>
  <conditionalFormatting sqref="E54">
    <cfRule type="expression" dxfId="24" priority="15" stopIfTrue="1">
      <formula>$F$54="超过20%"</formula>
    </cfRule>
  </conditionalFormatting>
  <conditionalFormatting sqref="E55">
    <cfRule type="expression" dxfId="23" priority="14" stopIfTrue="1">
      <formula>$F$55="超过30%"</formula>
    </cfRule>
  </conditionalFormatting>
  <conditionalFormatting sqref="G55">
    <cfRule type="expression" dxfId="22" priority="13" stopIfTrue="1">
      <formula>$H$55="超过30%"</formula>
    </cfRule>
  </conditionalFormatting>
  <conditionalFormatting sqref="G53">
    <cfRule type="expression" dxfId="21" priority="12" stopIfTrue="1">
      <formula>$H$53="超过30%"</formula>
    </cfRule>
  </conditionalFormatting>
  <conditionalFormatting sqref="G54">
    <cfRule type="expression" dxfId="20" priority="11" stopIfTrue="1">
      <formula>$H$54="超过20%"</formula>
    </cfRule>
  </conditionalFormatting>
  <conditionalFormatting sqref="J53">
    <cfRule type="containsText" dxfId="19" priority="10" stopIfTrue="1" operator="containsText" text="超过">
      <formula>NOT(ISERROR(SEARCH("超过",J53)))</formula>
    </cfRule>
  </conditionalFormatting>
  <conditionalFormatting sqref="J55">
    <cfRule type="containsText" dxfId="18" priority="9" stopIfTrue="1" operator="containsText" text="超过">
      <formula>NOT(ISERROR(SEARCH("超过",J55)))</formula>
    </cfRule>
  </conditionalFormatting>
  <conditionalFormatting sqref="J54">
    <cfRule type="containsText" dxfId="17" priority="8" stopIfTrue="1" operator="containsText" text="超过">
      <formula>NOT(ISERROR(SEARCH("超过",J54)))</formula>
    </cfRule>
  </conditionalFormatting>
  <conditionalFormatting sqref="I53">
    <cfRule type="expression" dxfId="16" priority="7" stopIfTrue="1">
      <formula>$J$53="超过30%"</formula>
    </cfRule>
  </conditionalFormatting>
  <conditionalFormatting sqref="I54">
    <cfRule type="expression" dxfId="15" priority="6" stopIfTrue="1">
      <formula>$J$53+$J$54="超过20%"</formula>
    </cfRule>
  </conditionalFormatting>
  <conditionalFormatting sqref="I55">
    <cfRule type="expression" dxfId="14" priority="5" stopIfTrue="1">
      <formula>$J$55="超过30%"</formula>
    </cfRule>
  </conditionalFormatting>
  <conditionalFormatting sqref="F49">
    <cfRule type="expression" dxfId="13" priority="4">
      <formula>$D$49="简单平均"</formula>
    </cfRule>
  </conditionalFormatting>
  <conditionalFormatting sqref="H49">
    <cfRule type="expression" dxfId="12" priority="3">
      <formula>$D$49="简单平均"</formula>
    </cfRule>
  </conditionalFormatting>
  <conditionalFormatting sqref="J49">
    <cfRule type="expression" dxfId="11" priority="2">
      <formula>$D$49="简单平均"</formula>
    </cfRule>
  </conditionalFormatting>
  <conditionalFormatting sqref="F7:F47 H7:H47 J7:J47">
    <cfRule type="cellIs" dxfId="1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O40" sqref="O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v>414</v>
      </c>
      <c r="D1" s="1362" t="s">
        <v>43</v>
      </c>
      <c r="E1" s="1363" t="s">
        <v>676</v>
      </c>
      <c r="F1" s="1062">
        <f ca="1">J53</f>
        <v>36.72</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3424">
        <f ca="1">ROUND(D2/10000,4)</f>
        <v>223.16909999999999</v>
      </c>
      <c r="C2" s="1387" t="s">
        <v>803</v>
      </c>
      <c r="D2" s="1471">
        <f ca="1">C40+J29+L46</f>
        <v>2231691</v>
      </c>
      <c r="E2" s="1388" t="s">
        <v>878</v>
      </c>
      <c r="F2" s="1389"/>
      <c r="G2" s="2705"/>
      <c r="H2" s="2694"/>
      <c r="I2" s="2694"/>
      <c r="J2" s="2694"/>
      <c r="K2" s="2695"/>
      <c r="L2" s="2694"/>
      <c r="M2" s="2694"/>
    </row>
    <row r="3" spans="1:37" ht="18" customHeight="1" thickBot="1">
      <c r="A3" s="1390" t="s">
        <v>879</v>
      </c>
      <c r="B3" s="1391">
        <f ca="1">IF(ISERROR(D2/F43),0,ROUND(D2/F43,0))</f>
        <v>27675</v>
      </c>
      <c r="C3" s="1387" t="s">
        <v>880</v>
      </c>
      <c r="D3" s="1387"/>
      <c r="E3" s="1388"/>
      <c r="F3" s="1389"/>
      <c r="G3" s="2705"/>
      <c r="H3" s="683" t="s">
        <v>874</v>
      </c>
      <c r="I3" s="1382"/>
      <c r="J3" s="1382"/>
      <c r="K3" s="1383"/>
      <c r="L3" s="1382"/>
      <c r="M3" s="1382"/>
    </row>
    <row r="4" spans="1:37" ht="18" customHeight="1">
      <c r="A4" s="295" t="s">
        <v>685</v>
      </c>
      <c r="B4" s="296" t="s">
        <v>882</v>
      </c>
      <c r="C4" s="296" t="s">
        <v>687</v>
      </c>
      <c r="D4" s="296" t="s">
        <v>884</v>
      </c>
      <c r="E4" s="297" t="s">
        <v>885</v>
      </c>
      <c r="F4" s="298"/>
      <c r="G4" s="1384"/>
      <c r="H4" s="295" t="s">
        <v>685</v>
      </c>
      <c r="I4" s="296" t="s">
        <v>882</v>
      </c>
      <c r="J4" s="296" t="s">
        <v>687</v>
      </c>
      <c r="K4" s="296" t="s">
        <v>884</v>
      </c>
      <c r="L4" s="297" t="s">
        <v>885</v>
      </c>
      <c r="M4" s="298"/>
    </row>
    <row r="5" spans="1:37" ht="18" customHeight="1">
      <c r="A5" s="299">
        <v>1</v>
      </c>
      <c r="B5" s="300" t="s">
        <v>886</v>
      </c>
      <c r="C5" s="1070">
        <f ca="1">C6+C10+C12</f>
        <v>129964</v>
      </c>
      <c r="D5" s="1364" t="s">
        <v>691</v>
      </c>
      <c r="E5" s="1071"/>
      <c r="F5" s="1072"/>
      <c r="G5" s="1384"/>
      <c r="H5" s="299">
        <v>1</v>
      </c>
      <c r="I5" s="300" t="s">
        <v>886</v>
      </c>
      <c r="J5" s="1070">
        <f ca="1">J6+J10+J12</f>
        <v>0</v>
      </c>
      <c r="K5" s="1364" t="s">
        <v>691</v>
      </c>
      <c r="L5" s="1071"/>
      <c r="M5" s="1072"/>
    </row>
    <row r="6" spans="1:37" ht="18" customHeight="1">
      <c r="A6" s="1069" t="s">
        <v>398</v>
      </c>
      <c r="B6" s="3687" t="s">
        <v>692</v>
      </c>
      <c r="C6" s="1074">
        <f ca="1">ROUND(F6*F8*F7*(1-F9),0)</f>
        <v>129802</v>
      </c>
      <c r="D6" s="155" t="s">
        <v>2102</v>
      </c>
      <c r="E6" s="302" t="s">
        <v>694</v>
      </c>
      <c r="F6" s="303">
        <f ca="1">INDIRECT("'数据-取费表'!u"&amp;$G$1)</f>
        <v>4.9000000000000004</v>
      </c>
      <c r="G6" s="1384"/>
      <c r="H6" s="1069" t="s">
        <v>398</v>
      </c>
      <c r="I6" s="3687" t="s">
        <v>692</v>
      </c>
      <c r="J6" s="301">
        <f ca="1">ROUND(M6*M8*M7*(1-M9),0)</f>
        <v>0</v>
      </c>
      <c r="K6" s="1376" t="s">
        <v>2103</v>
      </c>
      <c r="L6" s="302" t="s">
        <v>694</v>
      </c>
      <c r="M6" s="303">
        <f ca="1">INDIRECT("'数据-取费表'!z"&amp;$G$1)</f>
        <v>0</v>
      </c>
    </row>
    <row r="7" spans="1:37" ht="18" customHeight="1">
      <c r="A7" s="1073"/>
      <c r="B7" s="3688"/>
      <c r="C7" s="1075"/>
      <c r="D7" s="307"/>
      <c r="E7" s="3474" t="s">
        <v>695</v>
      </c>
      <c r="F7" s="303">
        <f ca="1">IF(INDIRECT("'数据-取费表'!ah"&amp;$G$1)="",INDIRECT("'数据-取费表'!k"&amp;$G$1),INDIRECT("'数据-取费表'!ah"&amp;$G$1))</f>
        <v>80.64</v>
      </c>
      <c r="G7" s="1384"/>
      <c r="H7" s="304"/>
      <c r="I7" s="3688"/>
      <c r="J7" s="306"/>
      <c r="K7" s="307"/>
      <c r="L7" s="302" t="s">
        <v>695</v>
      </c>
      <c r="M7" s="303">
        <f ca="1">F7</f>
        <v>80.64</v>
      </c>
    </row>
    <row r="8" spans="1:37" ht="18" customHeight="1">
      <c r="A8" s="304"/>
      <c r="B8" s="3688"/>
      <c r="C8" s="306"/>
      <c r="D8" s="307"/>
      <c r="E8" s="302" t="s">
        <v>696</v>
      </c>
      <c r="F8" s="303">
        <f ca="1">INDIRECT("'数据-取费表'!ai"&amp;$G$1)</f>
        <v>365</v>
      </c>
      <c r="G8" s="1384"/>
      <c r="H8" s="304"/>
      <c r="I8" s="3688"/>
      <c r="J8" s="306"/>
      <c r="K8" s="307"/>
      <c r="L8" s="302" t="s">
        <v>696</v>
      </c>
      <c r="M8" s="303">
        <f ca="1">INDIRECT("'数据-取费表'!ai"&amp;$G$1)</f>
        <v>365</v>
      </c>
    </row>
    <row r="9" spans="1:37" ht="18" customHeight="1">
      <c r="A9" s="304"/>
      <c r="B9" s="3689"/>
      <c r="C9" s="306"/>
      <c r="D9" s="307"/>
      <c r="E9" s="302" t="s">
        <v>697</v>
      </c>
      <c r="F9" s="312">
        <f ca="1">INDIRECT("'数据-取费表'!w"&amp;$G$1)</f>
        <v>0.1</v>
      </c>
      <c r="G9" s="1384"/>
      <c r="H9" s="304"/>
      <c r="I9" s="3689"/>
      <c r="J9" s="306"/>
      <c r="K9" s="307"/>
      <c r="L9" s="313" t="s">
        <v>697</v>
      </c>
      <c r="M9" s="314">
        <f ca="1">INDIRECT("'数据-取费表'!ab"&amp;$G$1)</f>
        <v>0</v>
      </c>
    </row>
    <row r="10" spans="1:37" ht="18" customHeight="1">
      <c r="A10" s="1069" t="s">
        <v>402</v>
      </c>
      <c r="B10" s="1365" t="s">
        <v>698</v>
      </c>
      <c r="C10" s="316">
        <f ca="1">ROUND(IF(F10="押一",C6/12*F11,IF(F10="押二",C6/12*2*F11,IF(F10="押三",C6/12*3*F11,C11*F11))),0)</f>
        <v>162</v>
      </c>
      <c r="D10" s="1366" t="s">
        <v>2112</v>
      </c>
      <c r="E10" s="313" t="s">
        <v>699</v>
      </c>
      <c r="F10" s="1116" t="s">
        <v>3396</v>
      </c>
      <c r="G10" s="1384"/>
      <c r="H10" s="1069" t="s">
        <v>402</v>
      </c>
      <c r="I10" s="1365" t="s">
        <v>698</v>
      </c>
      <c r="J10" s="301">
        <f ca="1">ROUND(IF(M10="押一",J6/12*M11,IF(M10="押二",J6/12*2*M11,IF(M10="押三",J6/12*3*M11,J11*M11))),0)</f>
        <v>0</v>
      </c>
      <c r="K10" s="1377" t="s">
        <v>2114</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380847</v>
      </c>
      <c r="D13" s="3467" t="s">
        <v>703</v>
      </c>
      <c r="E13" s="3467" t="s">
        <v>704</v>
      </c>
      <c r="F13" s="1082">
        <f ca="1">INDIRECT("'数据-取费表'!y"&amp;$G$1)</f>
        <v>0.82</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322560</v>
      </c>
      <c r="D14" s="3484" t="s">
        <v>706</v>
      </c>
      <c r="E14" s="3483"/>
      <c r="F14" s="319"/>
      <c r="G14" s="1384"/>
      <c r="H14" s="982" t="s">
        <v>398</v>
      </c>
      <c r="I14" s="302" t="s">
        <v>707</v>
      </c>
      <c r="J14" s="21">
        <f ca="1">C29</f>
        <v>464447</v>
      </c>
      <c r="K14" s="3472"/>
      <c r="L14" s="807"/>
      <c r="M14" s="808"/>
    </row>
    <row r="15" spans="1:37" s="1397" customFormat="1" ht="18" customHeight="1" thickBot="1">
      <c r="A15" s="982" t="s">
        <v>399</v>
      </c>
      <c r="B15" s="302" t="s">
        <v>708</v>
      </c>
      <c r="C15" s="21">
        <f ca="1">ROUND(C14*F15,0)</f>
        <v>9677</v>
      </c>
      <c r="D15" s="3468" t="s">
        <v>709</v>
      </c>
      <c r="E15" s="3468"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4644</v>
      </c>
      <c r="K16" s="1087" t="s">
        <v>713</v>
      </c>
      <c r="L16" s="3489"/>
      <c r="M16" s="1072"/>
    </row>
    <row r="17" spans="1:37" s="1397" customFormat="1" ht="18" customHeight="1">
      <c r="A17" s="982" t="s">
        <v>679</v>
      </c>
      <c r="B17" s="302" t="s">
        <v>714</v>
      </c>
      <c r="C17" s="21">
        <f ca="1">ROUND(F17*(F43+INDIRECT("'数据-取费表'!S"&amp;$G$1)),0)</f>
        <v>16128</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3484" t="s">
        <v>718</v>
      </c>
      <c r="L17" s="3487"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6451</v>
      </c>
      <c r="D18" s="302" t="s">
        <v>709</v>
      </c>
      <c r="E18" s="302" t="s">
        <v>710</v>
      </c>
      <c r="F18" s="322">
        <f>'数据-取费表'!B36</f>
        <v>0.02</v>
      </c>
      <c r="G18" s="1396"/>
      <c r="H18" s="982" t="s">
        <v>397</v>
      </c>
      <c r="I18" s="302" t="s">
        <v>721</v>
      </c>
      <c r="J18" s="21">
        <f ca="1">ROUND(J6*M18/(1+'数据-取费表'!C42),0)</f>
        <v>0</v>
      </c>
      <c r="K18" s="3487"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354816</v>
      </c>
      <c r="D19" s="131" t="s">
        <v>724</v>
      </c>
      <c r="E19" s="3498"/>
      <c r="F19" s="23"/>
      <c r="G19" s="1384"/>
      <c r="H19" s="982" t="s">
        <v>399</v>
      </c>
      <c r="I19" s="302" t="s">
        <v>725</v>
      </c>
      <c r="J19" s="21">
        <f ca="1">IF(K19="按租金收入计税",ROUND(J6*M19/(1+'数据-取费表'!C42),0),ROUND(C29*M19*0.7,0))</f>
        <v>0</v>
      </c>
      <c r="K19" s="1370" t="s">
        <v>3336</v>
      </c>
      <c r="L19" s="302" t="s">
        <v>710</v>
      </c>
      <c r="M19" s="322">
        <f>IF(K19="按租金收入计税",'数据-取费表'!B51,'数据-取费表'!B50)</f>
        <v>0.12</v>
      </c>
    </row>
    <row r="20" spans="1:37" s="1397" customFormat="1" ht="18" customHeight="1">
      <c r="A20" s="982" t="s">
        <v>402</v>
      </c>
      <c r="B20" s="302" t="s">
        <v>726</v>
      </c>
      <c r="C20" s="21">
        <f ca="1">ROUND(C19*F20,0)</f>
        <v>7096</v>
      </c>
      <c r="D20" s="2427" t="s">
        <v>727</v>
      </c>
      <c r="E20" s="302" t="s">
        <v>710</v>
      </c>
      <c r="F20" s="322">
        <f>'数据-取费表'!B37</f>
        <v>0.02</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2427"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3498"/>
      <c r="F22" s="23"/>
      <c r="G22" s="1384"/>
      <c r="H22" s="982" t="s">
        <v>402</v>
      </c>
      <c r="I22" s="302" t="s">
        <v>736</v>
      </c>
      <c r="J22" s="21">
        <f ca="1">ROUND(J14*M22,0)</f>
        <v>4644</v>
      </c>
      <c r="K22" s="3487"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12486</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ROUND(J13*M23,0)</f>
        <v>0</v>
      </c>
      <c r="K23" s="3487" t="s">
        <v>741</v>
      </c>
      <c r="L23" s="302" t="s">
        <v>710</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6"/>
      <c r="H24" s="1089" t="s">
        <v>681</v>
      </c>
      <c r="I24" s="1090" t="s">
        <v>726</v>
      </c>
      <c r="J24" s="1091">
        <f ca="1">ROUND(J5*M24,0)</f>
        <v>0</v>
      </c>
      <c r="K24" s="1092" t="s">
        <v>746</v>
      </c>
      <c r="L24" s="1090" t="s">
        <v>710</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3498"/>
      <c r="F25" s="23"/>
      <c r="G25" s="1384"/>
      <c r="H25" s="1079" t="s">
        <v>394</v>
      </c>
      <c r="I25" s="1094" t="s">
        <v>750</v>
      </c>
      <c r="J25" s="310">
        <f ca="1">J5-J16</f>
        <v>-4644</v>
      </c>
      <c r="K25" s="1095" t="s">
        <v>751</v>
      </c>
      <c r="L25" s="1096"/>
      <c r="M25" s="1097"/>
    </row>
    <row r="26" spans="1:37" ht="18" customHeight="1">
      <c r="A26" s="982" t="s">
        <v>397</v>
      </c>
      <c r="B26" s="302" t="s">
        <v>752</v>
      </c>
      <c r="C26" s="21">
        <f ca="1">ROUND((C19+C20)*F26,0)</f>
        <v>54287</v>
      </c>
      <c r="D26" s="2427" t="s">
        <v>753</v>
      </c>
      <c r="E26" s="313" t="s">
        <v>754</v>
      </c>
      <c r="F26" s="312">
        <f ca="1">INDIRECT("'数据-取费表'!q"&amp;$G$1)</f>
        <v>0.15</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3.0000000000000001E-3</v>
      </c>
      <c r="D27" s="2427" t="s">
        <v>759</v>
      </c>
      <c r="E27" s="3468"/>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2427"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464447</v>
      </c>
      <c r="D29" s="1092"/>
      <c r="E29" s="1090"/>
      <c r="F29" s="1093"/>
      <c r="G29" s="1396"/>
      <c r="H29" s="334" t="s">
        <v>396</v>
      </c>
      <c r="I29" s="335" t="s">
        <v>766</v>
      </c>
      <c r="J29" s="336">
        <f ca="1">ROUND(J26/(1+F40)^F41,0)</f>
        <v>0</v>
      </c>
      <c r="K29" s="337" t="s">
        <v>767</v>
      </c>
      <c r="L29" s="338"/>
      <c r="M29" s="339">
        <f ca="1">INDIRECT("'数据-取费表'!k"&amp;$G$1)</f>
        <v>80.64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28083</v>
      </c>
      <c r="D30" s="1087" t="s">
        <v>713</v>
      </c>
      <c r="E30" s="3489"/>
      <c r="F30" s="1072"/>
      <c r="G30" s="1384"/>
      <c r="H30" s="2696"/>
      <c r="I30" s="1398"/>
      <c r="J30" s="1399"/>
      <c r="K30" s="2474"/>
      <c r="L30" s="2697"/>
      <c r="M30" s="2698"/>
    </row>
    <row r="31" spans="1:37" ht="18" customHeight="1">
      <c r="A31" s="982" t="s">
        <v>398</v>
      </c>
      <c r="B31" s="302" t="s">
        <v>717</v>
      </c>
      <c r="C31" s="2316">
        <f ca="1">ROUND(IF(AND(项目基本情况!B11="自然人",项目基本情况!B10="北京市"),C6*F31/(1+'数据-取费表'!C42),C32+C33+C34),0)</f>
        <v>21758</v>
      </c>
      <c r="D31" s="3484" t="s">
        <v>718</v>
      </c>
      <c r="E31" s="3487" t="s">
        <v>768</v>
      </c>
      <c r="F31" s="2315"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721</v>
      </c>
      <c r="C32" s="21">
        <f ca="1">IF(项目基本情况!B11="自然人","——",ROUND(C6*F32/(1+'数据-取费表'!C42),0))</f>
        <v>6923</v>
      </c>
      <c r="D32" s="3487" t="s">
        <v>722</v>
      </c>
      <c r="E32" s="302" t="s">
        <v>710</v>
      </c>
      <c r="F32" s="331">
        <f>'数据-取费表'!B41</f>
        <v>5.6000000000000001E-2</v>
      </c>
      <c r="G32" s="1384"/>
      <c r="H32" s="2696"/>
      <c r="I32" s="1398"/>
      <c r="J32" s="1399"/>
      <c r="K32" s="2474"/>
      <c r="L32" s="2697"/>
      <c r="M32" s="2698"/>
    </row>
    <row r="33" spans="1:18" ht="18" customHeight="1">
      <c r="A33" s="982" t="s">
        <v>399</v>
      </c>
      <c r="B33" s="302" t="s">
        <v>725</v>
      </c>
      <c r="C33" s="21">
        <f ca="1">IF(项目基本情况!B11="自然人","——",IF(D33="按租金收入计税",ROUND(C6*F33/(1+'数据-取费表'!C42),0),IF(D33="按房产原值计税",ROUND(C29*F33*0.7,0),INDIRECT("'数据-取费表'!Aj"&amp;$G$1))))</f>
        <v>14835</v>
      </c>
      <c r="D33" s="1370" t="s">
        <v>3336</v>
      </c>
      <c r="E33" s="302" t="s">
        <v>710</v>
      </c>
      <c r="F33" s="322">
        <f>IF(D33="按票据","——",IF(D33="按租金收入计税",'数据-取费表'!B51,'数据-取费表'!B50))</f>
        <v>0.12</v>
      </c>
      <c r="G33" s="1384"/>
      <c r="H33" s="2699"/>
      <c r="I33" s="1398"/>
      <c r="J33" s="1399"/>
      <c r="K33" s="2700"/>
      <c r="L33" s="2699"/>
      <c r="M33" s="2699"/>
    </row>
    <row r="34" spans="1:18" ht="18" customHeight="1">
      <c r="A34" s="1069" t="s">
        <v>678</v>
      </c>
      <c r="B34" s="155" t="s">
        <v>728</v>
      </c>
      <c r="C34" s="22">
        <f ca="1">IF(项目基本情况!B11="自然人","——",ROUND(F34*F35,0))</f>
        <v>0</v>
      </c>
      <c r="D34" s="324" t="s">
        <v>729</v>
      </c>
      <c r="E34" s="302" t="s">
        <v>730</v>
      </c>
      <c r="F34" s="325">
        <f>'数据-取费表'!B52</f>
        <v>0</v>
      </c>
      <c r="G34" s="1384"/>
      <c r="H34" s="2696"/>
      <c r="I34" s="1398"/>
      <c r="J34" s="1399"/>
      <c r="K34" s="2701"/>
      <c r="L34" s="2702"/>
      <c r="M34" s="2702"/>
    </row>
    <row r="35" spans="1:18" ht="18" customHeight="1">
      <c r="A35" s="1103"/>
      <c r="B35" s="1101"/>
      <c r="C35" s="26"/>
      <c r="D35" s="327"/>
      <c r="E35" s="302" t="s">
        <v>734</v>
      </c>
      <c r="F35" s="303">
        <f ca="1">INDIRECT("'数据-取费表'!r"&amp;$G$1)</f>
        <v>0</v>
      </c>
      <c r="G35" s="1384"/>
      <c r="H35" s="2696"/>
      <c r="I35" s="1398"/>
      <c r="J35" s="1399"/>
      <c r="K35" s="2700"/>
      <c r="L35" s="2699"/>
      <c r="M35" s="2699"/>
    </row>
    <row r="36" spans="1:18" ht="18" customHeight="1">
      <c r="A36" s="1102" t="s">
        <v>402</v>
      </c>
      <c r="B36" s="302" t="s">
        <v>736</v>
      </c>
      <c r="C36" s="21">
        <f ca="1">ROUND(C29*F36,0)</f>
        <v>4644</v>
      </c>
      <c r="D36" s="3487" t="s">
        <v>769</v>
      </c>
      <c r="E36" s="302" t="s">
        <v>710</v>
      </c>
      <c r="F36" s="328">
        <f ca="1">INDIRECT("'数据-取费表'!Ak"&amp;$G$1)</f>
        <v>0.01</v>
      </c>
      <c r="G36" s="1384"/>
      <c r="H36" s="2699"/>
      <c r="I36" s="1398"/>
      <c r="J36" s="1399"/>
      <c r="K36" s="2543"/>
      <c r="L36" s="2699"/>
      <c r="M36" s="2699"/>
    </row>
    <row r="37" spans="1:18" ht="18" customHeight="1">
      <c r="A37" s="982" t="s">
        <v>437</v>
      </c>
      <c r="B37" s="302" t="s">
        <v>740</v>
      </c>
      <c r="C37" s="21">
        <f ca="1">ROUND(C13*F37,0)</f>
        <v>381</v>
      </c>
      <c r="D37" s="3487" t="s">
        <v>741</v>
      </c>
      <c r="E37" s="302" t="s">
        <v>710</v>
      </c>
      <c r="F37" s="330">
        <f ca="1">INDIRECT("'数据-取费表'!Al"&amp;$G$1)</f>
        <v>1E-3</v>
      </c>
      <c r="G37" s="1384"/>
      <c r="H37" s="2699"/>
      <c r="I37" s="1398"/>
      <c r="J37" s="1399"/>
      <c r="K37" s="2543"/>
      <c r="L37" s="2699"/>
      <c r="M37" s="2699"/>
    </row>
    <row r="38" spans="1:18" ht="18" customHeight="1" thickBot="1">
      <c r="A38" s="1089" t="s">
        <v>681</v>
      </c>
      <c r="B38" s="1090" t="s">
        <v>726</v>
      </c>
      <c r="C38" s="1091">
        <f ca="1">ROUND(C5*F38,0)</f>
        <v>1300</v>
      </c>
      <c r="D38" s="1092" t="s">
        <v>746</v>
      </c>
      <c r="E38" s="1090" t="s">
        <v>710</v>
      </c>
      <c r="F38" s="1086">
        <f ca="1">INDIRECT("'数据-取费表'!Am"&amp;$G$1)</f>
        <v>0.01</v>
      </c>
      <c r="G38" s="1384"/>
      <c r="H38" s="2699"/>
      <c r="I38" s="1398"/>
      <c r="J38" s="1399"/>
      <c r="K38" s="2703"/>
      <c r="L38" s="2699"/>
      <c r="M38" s="2699"/>
    </row>
    <row r="39" spans="1:18" ht="24.6" customHeight="1" thickTop="1">
      <c r="A39" s="1079" t="s">
        <v>394</v>
      </c>
      <c r="B39" s="1094" t="s">
        <v>770</v>
      </c>
      <c r="C39" s="310">
        <f ca="1">C5-C30</f>
        <v>101881</v>
      </c>
      <c r="D39" s="1095" t="s">
        <v>751</v>
      </c>
      <c r="E39" s="1096"/>
      <c r="F39" s="1097"/>
      <c r="G39" s="1384"/>
      <c r="H39" s="2699"/>
      <c r="I39" s="1398"/>
      <c r="J39" s="1399"/>
      <c r="K39" s="2703"/>
      <c r="L39" s="2699"/>
      <c r="M39" s="2699"/>
    </row>
    <row r="40" spans="1:18" ht="18" customHeight="1">
      <c r="A40" s="299" t="s">
        <v>395</v>
      </c>
      <c r="B40" s="300" t="s">
        <v>772</v>
      </c>
      <c r="C40" s="301">
        <f ca="1">ROUND(C39*(1-((1+F42)/(1+F40))^F41)/(F40-F42),0)</f>
        <v>2218639</v>
      </c>
      <c r="D40" s="324" t="s">
        <v>756</v>
      </c>
      <c r="E40" s="302" t="s">
        <v>757</v>
      </c>
      <c r="F40" s="312">
        <f ca="1">INDIRECT("'数据-取费表'!I"&amp;$G$1)</f>
        <v>5.5E-2</v>
      </c>
      <c r="G40" s="1384"/>
      <c r="H40" s="1461"/>
      <c r="I40" s="1398"/>
      <c r="J40" s="1399"/>
      <c r="K40" s="2703"/>
      <c r="L40" s="1461"/>
      <c r="M40" s="1461"/>
    </row>
    <row r="41" spans="1:18" ht="18" customHeight="1">
      <c r="A41" s="304"/>
      <c r="B41" s="305"/>
      <c r="C41" s="306"/>
      <c r="D41" s="332" t="s">
        <v>773</v>
      </c>
      <c r="E41" s="302" t="s">
        <v>761</v>
      </c>
      <c r="F41" s="333">
        <f ca="1">IF(INDIRECT("'数据-取费表'!af"&amp;$G$1)=0,INDIRECT("'数据-取费表'!ae"&amp;$G$1),INDIRECT("'数据-取费表'!af"&amp;$G$1))</f>
        <v>36.72</v>
      </c>
      <c r="G41" s="1384"/>
      <c r="H41" s="1191"/>
      <c r="I41" s="1398"/>
      <c r="J41" s="1399"/>
      <c r="K41" s="2543"/>
      <c r="L41" s="1191"/>
      <c r="M41" s="1191"/>
    </row>
    <row r="42" spans="1:18" ht="18" customHeight="1">
      <c r="A42" s="308"/>
      <c r="B42" s="309"/>
      <c r="C42" s="310"/>
      <c r="D42" s="327"/>
      <c r="E42" s="302" t="s">
        <v>764</v>
      </c>
      <c r="F42" s="312">
        <f ca="1">INDIRECT("'数据-取费表'!v"&amp;$G$1)</f>
        <v>2.5000000000000001E-2</v>
      </c>
      <c r="G42" s="1384"/>
      <c r="H42" s="1191"/>
      <c r="I42" s="1398"/>
      <c r="J42" s="1399"/>
      <c r="K42" s="2543"/>
      <c r="L42" s="1191"/>
      <c r="M42" s="1191"/>
    </row>
    <row r="43" spans="1:18" ht="18" customHeight="1" thickBot="1">
      <c r="A43" s="334" t="s">
        <v>396</v>
      </c>
      <c r="B43" s="335" t="s">
        <v>774</v>
      </c>
      <c r="C43" s="336">
        <f ca="1">ROUND(C40/F43,0)</f>
        <v>27513</v>
      </c>
      <c r="D43" s="337" t="s">
        <v>775</v>
      </c>
      <c r="E43" s="338" t="s">
        <v>776</v>
      </c>
      <c r="F43" s="339">
        <f ca="1">INDIRECT("'数据-取费表'!k"&amp;$G$1)</f>
        <v>80.64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-229.72110000000001</v>
      </c>
      <c r="D45" s="3431" t="s">
        <v>3353</v>
      </c>
      <c r="E45" s="1400"/>
      <c r="F45" s="1400"/>
      <c r="O45" s="1403" t="s">
        <v>806</v>
      </c>
      <c r="P45" s="1461"/>
      <c r="Q45" s="1461"/>
      <c r="R45" s="1461"/>
    </row>
    <row r="46" spans="1:18" s="1384" customFormat="1" ht="13.5" thickBot="1">
      <c r="A46" s="1404" t="s">
        <v>807</v>
      </c>
      <c r="C46" s="1405">
        <f ca="1">ROUND(C45,0)</f>
        <v>-230</v>
      </c>
      <c r="D46" s="1406" t="str">
        <f>C2</f>
        <v>万元</v>
      </c>
      <c r="I46" s="1407" t="s">
        <v>808</v>
      </c>
      <c r="J46" s="1408"/>
      <c r="K46" s="1409"/>
      <c r="L46" s="1410">
        <f ca="1">IF(M47="住宅",0,IF(L48&gt;J51,L60,J60))</f>
        <v>13052</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t="s">
        <v>3421</v>
      </c>
      <c r="K47" s="1416" t="s">
        <v>814</v>
      </c>
      <c r="L47" s="1417">
        <f ca="1">INDIRECT("'数据-取费表'!d"&amp;$G$1)</f>
        <v>50</v>
      </c>
      <c r="M47" s="1380" t="str">
        <f>IF(ISNUMBER(FIND("住宅",C1)),"住宅","非住宅")</f>
        <v>非住宅</v>
      </c>
      <c r="O47" s="1418" t="s">
        <v>403</v>
      </c>
      <c r="P47" s="1419" t="s">
        <v>815</v>
      </c>
      <c r="Q47" s="1420">
        <f ca="1">C40+J29</f>
        <v>2218639</v>
      </c>
      <c r="R47" s="1420" t="s">
        <v>816</v>
      </c>
    </row>
    <row r="48" spans="1:18" s="1384" customFormat="1" ht="28.5" thickBot="1">
      <c r="A48" s="1110" t="s">
        <v>438</v>
      </c>
      <c r="B48" s="300" t="s">
        <v>690</v>
      </c>
      <c r="C48" s="3497">
        <f ca="1">C49+C53+C55</f>
        <v>0</v>
      </c>
      <c r="D48" s="1112"/>
      <c r="E48" s="1113"/>
      <c r="F48" s="962"/>
      <c r="G48" s="722"/>
      <c r="H48" s="723"/>
      <c r="I48" s="1421" t="s">
        <v>817</v>
      </c>
      <c r="J48" s="1422" t="s">
        <v>3454</v>
      </c>
      <c r="K48" s="1423" t="s">
        <v>818</v>
      </c>
      <c r="L48" s="1424">
        <f ca="1">INDIRECT("'数据-取费表'!f"&amp;$G$1)</f>
        <v>36.72</v>
      </c>
      <c r="O48" s="1418" t="s">
        <v>404</v>
      </c>
      <c r="P48" s="1419" t="s">
        <v>819</v>
      </c>
      <c r="Q48" s="1420">
        <f ca="1">J60</f>
        <v>13052</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v>2013</v>
      </c>
      <c r="K49" s="1423" t="s">
        <v>822</v>
      </c>
      <c r="L49" s="1427"/>
      <c r="O49" s="1428" t="s">
        <v>405</v>
      </c>
      <c r="P49" s="1419" t="s">
        <v>823</v>
      </c>
      <c r="Q49" s="1420">
        <f ca="1">C29</f>
        <v>464447</v>
      </c>
      <c r="R49" s="1420" t="s">
        <v>816</v>
      </c>
    </row>
    <row r="50" spans="1:18" s="1384" customFormat="1" ht="13.5" thickBot="1">
      <c r="A50" s="976"/>
      <c r="B50" s="979"/>
      <c r="C50" s="980"/>
      <c r="D50" s="953"/>
      <c r="E50" s="1056" t="s">
        <v>695</v>
      </c>
      <c r="F50" s="1057">
        <f ca="1">F7</f>
        <v>80.64</v>
      </c>
      <c r="H50" s="723"/>
      <c r="I50" s="1421" t="s">
        <v>824</v>
      </c>
      <c r="J50" s="1429">
        <f>SUMPRODUCT((I63:I65=J47)*(J62:L62=J48)*(J63:L65))</f>
        <v>60</v>
      </c>
      <c r="K50" s="1423" t="s">
        <v>825</v>
      </c>
      <c r="L50" s="1427"/>
      <c r="M50" s="1430"/>
      <c r="O50" s="1428" t="s">
        <v>406</v>
      </c>
      <c r="P50" s="1419" t="s">
        <v>826</v>
      </c>
      <c r="Q50" s="1431">
        <f ca="1">J58</f>
        <v>0.4</v>
      </c>
      <c r="R50" s="1420"/>
    </row>
    <row r="51" spans="1:18" s="1384" customFormat="1" ht="13.5" thickBot="1">
      <c r="A51" s="977"/>
      <c r="B51" s="979"/>
      <c r="C51" s="980"/>
      <c r="D51" s="953"/>
      <c r="E51" s="981" t="s">
        <v>696</v>
      </c>
      <c r="F51" s="303">
        <f ca="1">F8</f>
        <v>365</v>
      </c>
      <c r="I51" s="1432" t="s">
        <v>827</v>
      </c>
      <c r="J51" s="1433">
        <f>IF(J49="",J50,J49+J50-YEAR('数据-取费表'!B2))</f>
        <v>49</v>
      </c>
      <c r="K51" s="1434" t="s">
        <v>828</v>
      </c>
      <c r="L51" s="1435">
        <f ca="1">ROUND(-PV(INDIRECT("'数据-取费表'!h"&amp;$G$1),J51,(C39-C13*C76),0),0)</f>
        <v>1366682</v>
      </c>
      <c r="M51" s="1436"/>
      <c r="O51" s="1428" t="s">
        <v>407</v>
      </c>
      <c r="P51" s="1419" t="s">
        <v>829</v>
      </c>
      <c r="Q51" s="1431">
        <f>J52</f>
        <v>7.4999999999999997E-2</v>
      </c>
      <c r="R51" s="1420"/>
    </row>
    <row r="52" spans="1:18" s="1384" customFormat="1" ht="13.5" thickBot="1">
      <c r="A52" s="977"/>
      <c r="B52" s="979"/>
      <c r="C52" s="980"/>
      <c r="D52" s="953"/>
      <c r="E52" s="981" t="s">
        <v>697</v>
      </c>
      <c r="F52" s="1054"/>
      <c r="I52" s="1437" t="s">
        <v>830</v>
      </c>
      <c r="J52" s="1438">
        <v>7.4999999999999997E-2</v>
      </c>
      <c r="K52" s="1437" t="s">
        <v>831</v>
      </c>
      <c r="L52" s="1438"/>
      <c r="O52" s="1428" t="s">
        <v>408</v>
      </c>
      <c r="P52" s="1419" t="s">
        <v>832</v>
      </c>
      <c r="Q52" s="1420">
        <f ca="1">J53</f>
        <v>36.72</v>
      </c>
      <c r="R52" s="1420" t="s">
        <v>833</v>
      </c>
    </row>
    <row r="53" spans="1:18" s="1384" customFormat="1" ht="30.75" customHeight="1" thickBot="1">
      <c r="A53" s="1111" t="s">
        <v>440</v>
      </c>
      <c r="B53" s="2427" t="s">
        <v>698</v>
      </c>
      <c r="C53" s="316">
        <f ca="1">ROUND(IF(F53="押一",C49/12*F11,IF(F53="押二",C49/12*2*F11,IF(F53="押三",C49/12*3*F11,C54*F11))),0)</f>
        <v>0</v>
      </c>
      <c r="D53" s="1366" t="s">
        <v>2115</v>
      </c>
      <c r="E53" s="313" t="s">
        <v>699</v>
      </c>
      <c r="F53" s="1116"/>
      <c r="I53" s="1439" t="s">
        <v>834</v>
      </c>
      <c r="J53" s="2168">
        <f ca="1">IF(M47="住宅",IF(D1="——",MAX(J51,L48),MAX(J51,L48-'数据-取费表'!B24)),IF(D1="——",MIN(J51,L48),MIN(J51,L48-'数据-取费表'!B24)))</f>
        <v>36.72</v>
      </c>
      <c r="K53" s="3685" t="s">
        <v>835</v>
      </c>
      <c r="L53" s="3686"/>
      <c r="O53" s="1418" t="s">
        <v>409</v>
      </c>
      <c r="P53" s="1419" t="s">
        <v>836</v>
      </c>
      <c r="Q53" s="1420">
        <f ca="1">Q47+Q48</f>
        <v>2231691</v>
      </c>
      <c r="R53" s="1420" t="s">
        <v>410</v>
      </c>
    </row>
    <row r="54" spans="1:18" s="1384" customFormat="1" ht="13.5" thickBot="1">
      <c r="A54" s="975"/>
      <c r="B54" s="1473" t="s">
        <v>889</v>
      </c>
      <c r="C54" s="959"/>
      <c r="D54" s="1366"/>
      <c r="E54" s="347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3476"/>
      <c r="F55" s="1440"/>
      <c r="I55" s="1443" t="s">
        <v>838</v>
      </c>
      <c r="J55" s="1444">
        <f ca="1">ROUND(IF(J47="钢混",J57/J50,1-(1-2%)*(J50-J57)/J50),3)</f>
        <v>0.20499999999999999</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380847</v>
      </c>
      <c r="D56" s="1447"/>
      <c r="E56" s="1448"/>
      <c r="F56" s="1440"/>
      <c r="I56" s="1449" t="s">
        <v>840</v>
      </c>
      <c r="J56" s="1450" t="s">
        <v>3386</v>
      </c>
      <c r="K56" s="1421" t="s">
        <v>841</v>
      </c>
      <c r="L56" s="1424" t="str">
        <f ca="1">IF(L48&lt;J51,"——",L48-J51)</f>
        <v>——</v>
      </c>
      <c r="O56" s="1418" t="s">
        <v>403</v>
      </c>
      <c r="P56" s="1419" t="s">
        <v>815</v>
      </c>
      <c r="Q56" s="1420">
        <f ca="1">C40+J29</f>
        <v>2218639</v>
      </c>
      <c r="R56" s="1420" t="s">
        <v>816</v>
      </c>
    </row>
    <row r="57" spans="1:18" s="1384" customFormat="1" ht="24.75" thickBot="1">
      <c r="A57" s="1451"/>
      <c r="B57" s="950" t="s">
        <v>765</v>
      </c>
      <c r="C57" s="238">
        <f ca="1">C29</f>
        <v>464447</v>
      </c>
      <c r="D57" s="1452"/>
      <c r="E57" s="1453"/>
      <c r="F57" s="1454"/>
      <c r="I57" s="1455" t="s">
        <v>842</v>
      </c>
      <c r="J57" s="1456">
        <f ca="1">IF(OR(M47="住宅",J51&lt;L48,J56="是"),"——",J51-L48)</f>
        <v>12.280000000000001</v>
      </c>
      <c r="K57" s="1421" t="s">
        <v>890</v>
      </c>
      <c r="L57" s="1424" t="str">
        <f ca="1">IF(L48&lt;J51,"——",IF(L55="比较法",L49,IF(L55="基准地价",L50,L51)))</f>
        <v>——</v>
      </c>
      <c r="O57" s="1418" t="s">
        <v>404</v>
      </c>
      <c r="P57" s="1419" t="s">
        <v>844</v>
      </c>
      <c r="Q57" s="1420">
        <f ca="1">L60</f>
        <v>0</v>
      </c>
      <c r="R57" s="1420" t="s">
        <v>845</v>
      </c>
    </row>
    <row r="58" spans="1:18" s="1384" customFormat="1" ht="24.75" thickBot="1">
      <c r="A58" s="315" t="s">
        <v>393</v>
      </c>
      <c r="B58" s="958" t="s">
        <v>712</v>
      </c>
      <c r="C58" s="316">
        <f ca="1">ROUND(C59+C64+C65+C66,0)</f>
        <v>5025</v>
      </c>
      <c r="D58" s="960" t="s">
        <v>713</v>
      </c>
      <c r="E58" s="961"/>
      <c r="F58" s="962"/>
      <c r="I58" s="1455" t="s">
        <v>846</v>
      </c>
      <c r="J58" s="1457">
        <f ca="1">IF(J55&lt;0.4,0.4,J55)</f>
        <v>0.4</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f ca="1">IF(OR(M47="住宅",J51&lt;L48,J56="是"),"——",ROUND(C29*J58,0))</f>
        <v>185779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f ca="1">IF(项目基本情况!B11="自然人","——",ROUND(C48*F60/(1+'数据-取费表'!C42),0))</f>
        <v>0</v>
      </c>
      <c r="D60" s="964" t="s">
        <v>722</v>
      </c>
      <c r="E60" s="950" t="s">
        <v>710</v>
      </c>
      <c r="F60" s="331">
        <f t="shared" ref="F60:F66" si="0">F32</f>
        <v>5.6000000000000001E-2</v>
      </c>
      <c r="I60" s="1458" t="s">
        <v>851</v>
      </c>
      <c r="J60" s="1459">
        <f ca="1">IF(OR(M47="住宅",J51&lt;L48,J56="是"),"0",ROUND(J59/(1+J52)^J53,0))</f>
        <v>13052</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f ca="1">IF(项目基本情况!B11="自然人","——",IF(D61="按租金收入计税",ROUND(C49*F61/(1+'数据-取费表'!C42),0),IF(D61="按房产原值计税",ROUND(C57*F61*0.7,0),INDIRECT("'数据-取费表'!Aj"&amp;$G$1))))</f>
        <v>0</v>
      </c>
      <c r="D61" s="1370" t="s">
        <v>3336</v>
      </c>
      <c r="E61" s="950" t="s">
        <v>710</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728</v>
      </c>
      <c r="C62" s="22">
        <f ca="1">IF(项目基本情况!B11="自然人","——",ROUND(F62*F63,0))</f>
        <v>0</v>
      </c>
      <c r="D62" s="965" t="s">
        <v>729</v>
      </c>
      <c r="E62" s="950" t="s">
        <v>730</v>
      </c>
      <c r="F62" s="325">
        <f t="shared" si="0"/>
        <v>0</v>
      </c>
      <c r="I62" s="1462" t="s">
        <v>856</v>
      </c>
      <c r="J62" s="1463" t="s">
        <v>857</v>
      </c>
      <c r="K62" s="1463" t="s">
        <v>858</v>
      </c>
      <c r="L62" s="1463" t="s">
        <v>859</v>
      </c>
      <c r="M62" s="1464" t="s">
        <v>860</v>
      </c>
      <c r="O62" s="1418" t="s">
        <v>409</v>
      </c>
      <c r="P62" s="1419" t="s">
        <v>836</v>
      </c>
      <c r="Q62" s="1420">
        <f ca="1">Q56+Q57</f>
        <v>2218639</v>
      </c>
      <c r="R62" s="1420" t="s">
        <v>410</v>
      </c>
    </row>
    <row r="63" spans="1:18" s="1384" customFormat="1" ht="13.5" thickBot="1">
      <c r="A63" s="326"/>
      <c r="B63" s="956"/>
      <c r="C63" s="26"/>
      <c r="D63" s="966"/>
      <c r="E63" s="950" t="s">
        <v>734</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736</v>
      </c>
      <c r="C64" s="21">
        <f ca="1">ROUND(C57*F64,0)</f>
        <v>4644</v>
      </c>
      <c r="D64" s="964" t="s">
        <v>769</v>
      </c>
      <c r="E64" s="950" t="s">
        <v>710</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381</v>
      </c>
      <c r="D65" s="964" t="s">
        <v>741</v>
      </c>
      <c r="E65" s="950" t="s">
        <v>710</v>
      </c>
      <c r="F65" s="330">
        <f t="shared" ca="1" si="0"/>
        <v>1E-3</v>
      </c>
      <c r="I65" s="1462" t="s">
        <v>865</v>
      </c>
      <c r="J65" s="1463">
        <v>40</v>
      </c>
      <c r="K65" s="1463">
        <v>30</v>
      </c>
      <c r="L65" s="1463">
        <v>50</v>
      </c>
      <c r="M65" s="1465">
        <v>0.02</v>
      </c>
      <c r="O65" s="1418" t="s">
        <v>403</v>
      </c>
      <c r="P65" s="1419" t="s">
        <v>815</v>
      </c>
      <c r="Q65" s="1420">
        <f ca="1">C40+J29</f>
        <v>2218639</v>
      </c>
      <c r="R65" s="1420" t="s">
        <v>816</v>
      </c>
    </row>
    <row r="66" spans="1:18" s="1384" customFormat="1" ht="16.5" thickBot="1">
      <c r="A66" s="982" t="s">
        <v>791</v>
      </c>
      <c r="B66" s="950" t="s">
        <v>726</v>
      </c>
      <c r="C66" s="21">
        <f ca="1">ROUND(C48*F66,0)</f>
        <v>0</v>
      </c>
      <c r="D66" s="964" t="s">
        <v>792</v>
      </c>
      <c r="E66" s="950" t="s">
        <v>710</v>
      </c>
      <c r="F66" s="312">
        <f t="shared" ca="1" si="0"/>
        <v>0.01</v>
      </c>
      <c r="O66" s="1418" t="s">
        <v>404</v>
      </c>
      <c r="P66" s="1419" t="s">
        <v>844</v>
      </c>
      <c r="Q66" s="1420">
        <f ca="1">L60</f>
        <v>0</v>
      </c>
      <c r="R66" s="1420" t="s">
        <v>867</v>
      </c>
    </row>
    <row r="67" spans="1:18" s="1384" customFormat="1" ht="16.5" thickBot="1">
      <c r="A67" s="957" t="s">
        <v>394</v>
      </c>
      <c r="B67" s="967" t="s">
        <v>750</v>
      </c>
      <c r="C67" s="316">
        <f ca="1">C48-C58</f>
        <v>-5025</v>
      </c>
      <c r="D67" s="963" t="s">
        <v>751</v>
      </c>
      <c r="E67" s="968"/>
      <c r="F67" s="969"/>
      <c r="O67" s="1428" t="s">
        <v>405</v>
      </c>
      <c r="P67" s="1419" t="s">
        <v>848</v>
      </c>
      <c r="Q67" s="1466">
        <f ca="1">L51</f>
        <v>1366682</v>
      </c>
      <c r="R67" s="1420" t="s">
        <v>868</v>
      </c>
    </row>
    <row r="68" spans="1:18" s="1384" customFormat="1" ht="16.5" thickBot="1">
      <c r="A68" s="947" t="s">
        <v>395</v>
      </c>
      <c r="B68" s="948" t="s">
        <v>772</v>
      </c>
      <c r="C68" s="301">
        <f ca="1">ROUND(C67*(1-((1+F70)/(1+F68))^F69)/(F68-F70),0)</f>
        <v>-78572</v>
      </c>
      <c r="D68" s="965" t="s">
        <v>756</v>
      </c>
      <c r="E68" s="950" t="s">
        <v>757</v>
      </c>
      <c r="F68" s="312">
        <f ca="1">F40</f>
        <v>5.5E-2</v>
      </c>
      <c r="O68" s="1428" t="s">
        <v>406</v>
      </c>
      <c r="P68" s="1467" t="s">
        <v>869</v>
      </c>
      <c r="Q68" s="1420">
        <f ca="1">ROUND(Q69-Q70*Q71,0)</f>
        <v>75222</v>
      </c>
      <c r="R68" s="1420" t="s">
        <v>414</v>
      </c>
    </row>
    <row r="69" spans="1:18" s="1384" customFormat="1" ht="13.5" thickBot="1">
      <c r="A69" s="951"/>
      <c r="B69" s="952"/>
      <c r="C69" s="306"/>
      <c r="D69" s="970" t="s">
        <v>760</v>
      </c>
      <c r="E69" s="950" t="s">
        <v>761</v>
      </c>
      <c r="F69" s="333">
        <f ca="1">F41</f>
        <v>36.72</v>
      </c>
      <c r="O69" s="1428" t="s">
        <v>411</v>
      </c>
      <c r="P69" s="1467" t="s">
        <v>870</v>
      </c>
      <c r="Q69" s="1420">
        <f ca="1">C39</f>
        <v>101881</v>
      </c>
      <c r="R69" s="1420" t="s">
        <v>816</v>
      </c>
    </row>
    <row r="70" spans="1:18" s="1384" customFormat="1" ht="13.5" thickBot="1">
      <c r="A70" s="954"/>
      <c r="B70" s="955"/>
      <c r="C70" s="310"/>
      <c r="D70" s="966"/>
      <c r="E70" s="950" t="s">
        <v>764</v>
      </c>
      <c r="F70" s="1054"/>
      <c r="O70" s="1428" t="s">
        <v>412</v>
      </c>
      <c r="P70" s="1467" t="s">
        <v>871</v>
      </c>
      <c r="Q70" s="1420">
        <f ca="1">C13</f>
        <v>380847</v>
      </c>
      <c r="R70" s="1420" t="s">
        <v>816</v>
      </c>
    </row>
    <row r="71" spans="1:18" s="1384" customFormat="1" ht="13.5" thickBot="1">
      <c r="A71" s="971" t="s">
        <v>396</v>
      </c>
      <c r="B71" s="972" t="s">
        <v>774</v>
      </c>
      <c r="C71" s="336">
        <f ca="1">ROUND(C68/F71,0)</f>
        <v>-974</v>
      </c>
      <c r="D71" s="973" t="s">
        <v>775</v>
      </c>
      <c r="E71" s="974" t="s">
        <v>776</v>
      </c>
      <c r="F71" s="339">
        <f ca="1">F43</f>
        <v>80.64</v>
      </c>
      <c r="O71" s="1428" t="s">
        <v>413</v>
      </c>
      <c r="P71" s="1467" t="s">
        <v>872</v>
      </c>
      <c r="Q71" s="1431">
        <f ca="1">C76</f>
        <v>7.0000000000000007E-2</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26659</v>
      </c>
      <c r="D75" s="1384"/>
      <c r="E75" s="1384"/>
      <c r="F75" s="1384"/>
      <c r="K75" s="1402"/>
      <c r="L75" s="1384"/>
      <c r="O75" s="1418" t="s">
        <v>409</v>
      </c>
      <c r="P75" s="1419" t="s">
        <v>836</v>
      </c>
      <c r="Q75" s="1420">
        <f ca="1">Q65+Q66</f>
        <v>2218639</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0.73799999999999999</v>
      </c>
    </row>
    <row r="80" spans="1:18">
      <c r="B80" s="340" t="s">
        <v>798</v>
      </c>
      <c r="C80" s="274">
        <f ca="1">ROUND(C75/C39,3)</f>
        <v>0.26200000000000001</v>
      </c>
    </row>
    <row r="81" spans="2:3">
      <c r="B81" s="270" t="s">
        <v>799</v>
      </c>
      <c r="C81" s="238"/>
    </row>
    <row r="82" spans="2:3">
      <c r="B82" s="273" t="s">
        <v>800</v>
      </c>
      <c r="C82" s="275">
        <f ca="1">1-C83</f>
        <v>0.82800000000000007</v>
      </c>
    </row>
    <row r="83" spans="2:3">
      <c r="B83" s="273" t="s">
        <v>801</v>
      </c>
      <c r="C83" s="274">
        <f ca="1">ROUND(C13/C40,3)</f>
        <v>0.17199999999999999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4" priority="4">
      <formula>$L$48&gt;$J$51</formula>
    </cfRule>
  </conditionalFormatting>
  <conditionalFormatting sqref="I55 I60">
    <cfRule type="expression" dxfId="33" priority="5">
      <formula>$J$51&gt;$L$48</formula>
    </cfRule>
  </conditionalFormatting>
  <conditionalFormatting sqref="C11">
    <cfRule type="expression" dxfId="32" priority="3">
      <formula>$F$10="自定义"</formula>
    </cfRule>
  </conditionalFormatting>
  <conditionalFormatting sqref="J11">
    <cfRule type="expression" dxfId="31" priority="2">
      <formula>$M$10="自定义"</formula>
    </cfRule>
  </conditionalFormatting>
  <conditionalFormatting sqref="C54">
    <cfRule type="expression" dxfId="3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zoomScale="60" zoomScaleNormal="70" workbookViewId="0">
      <selection activeCell="F1" sqref="F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t="s">
        <v>21</v>
      </c>
      <c r="E1" s="3432" t="s">
        <v>3397</v>
      </c>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e">
        <f ca="1">IF(E1="项目模式",IF(C2="——",ROUND(C50*D3/10000,0),ROUND(C50*D3/10000,0)-D2),IF(E1="单套模式",IF(C2="——",ROUND(C50*D3/10000,4),ROUND(C50*D3/10000,4)-D2)))</f>
        <v>#DIV/0!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t="e">
        <f ca="1">IF(C2="——",C50,ROUND(B2*10000/D3,0))</f>
        <v>#DIV/0!</v>
      </c>
      <c r="C3" s="354" t="s">
        <v>1765</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1766</v>
      </c>
      <c r="B4" s="356"/>
      <c r="C4" s="3729" t="s">
        <v>1767</v>
      </c>
      <c r="D4" s="3730"/>
      <c r="E4" s="3731" t="s">
        <v>1768</v>
      </c>
      <c r="F4" s="3732"/>
      <c r="G4" s="3729" t="s">
        <v>1769</v>
      </c>
      <c r="H4" s="3730"/>
      <c r="I4" s="3729" t="s">
        <v>1770</v>
      </c>
      <c r="J4" s="3730"/>
      <c r="K4" s="559" t="s">
        <v>1771</v>
      </c>
      <c r="L4" s="2714"/>
      <c r="M4" s="2715"/>
      <c r="N4" s="2715"/>
      <c r="O4" s="2715"/>
      <c r="P4" s="3768" t="s">
        <v>1772</v>
      </c>
      <c r="Q4" s="3769"/>
      <c r="R4" s="3762" t="s">
        <v>1768</v>
      </c>
      <c r="S4" s="3763"/>
      <c r="T4" s="3762" t="s">
        <v>1769</v>
      </c>
      <c r="U4" s="3763"/>
      <c r="V4" s="3761" t="s">
        <v>1770</v>
      </c>
      <c r="W4" s="3761"/>
      <c r="X4" s="1958"/>
      <c r="Y4" s="3762" t="s">
        <v>1772</v>
      </c>
      <c r="Z4" s="3763"/>
      <c r="AA4" s="3764" t="s">
        <v>1768</v>
      </c>
      <c r="AB4" s="3764" t="s">
        <v>1769</v>
      </c>
      <c r="AC4" s="3765" t="s">
        <v>1770</v>
      </c>
    </row>
    <row r="5" spans="1:29" ht="15">
      <c r="A5" s="358"/>
      <c r="B5" s="359"/>
      <c r="C5" s="3748" t="s">
        <v>1670</v>
      </c>
      <c r="D5" s="3749"/>
      <c r="E5" s="3755" t="s">
        <v>1671</v>
      </c>
      <c r="F5" s="3756"/>
      <c r="G5" s="3748" t="s">
        <v>1672</v>
      </c>
      <c r="H5" s="3749"/>
      <c r="I5" s="3748" t="s">
        <v>1673</v>
      </c>
      <c r="J5" s="3749"/>
      <c r="K5" s="559"/>
      <c r="L5" s="2714"/>
      <c r="M5" s="2715"/>
      <c r="N5" s="2715"/>
      <c r="O5" s="2715"/>
      <c r="P5" s="3770"/>
      <c r="Q5" s="3736"/>
      <c r="R5" s="3741"/>
      <c r="S5" s="3742"/>
      <c r="T5" s="3741"/>
      <c r="U5" s="3742"/>
      <c r="V5" s="3745"/>
      <c r="W5" s="3745"/>
      <c r="X5" s="1355"/>
      <c r="Y5" s="3741"/>
      <c r="Z5" s="3742"/>
      <c r="AA5" s="3727"/>
      <c r="AB5" s="3727"/>
      <c r="AC5" s="3766"/>
    </row>
    <row r="6" spans="1:29" ht="15.75" thickBot="1">
      <c r="A6" s="360"/>
      <c r="B6" s="361"/>
      <c r="C6" s="3746" t="s">
        <v>1674</v>
      </c>
      <c r="D6" s="3747"/>
      <c r="E6" s="3753" t="s">
        <v>1674</v>
      </c>
      <c r="F6" s="3754"/>
      <c r="G6" s="3746" t="s">
        <v>1674</v>
      </c>
      <c r="H6" s="3747"/>
      <c r="I6" s="3746" t="s">
        <v>1674</v>
      </c>
      <c r="J6" s="3747"/>
      <c r="K6" s="559" t="s">
        <v>1675</v>
      </c>
      <c r="L6" s="2714"/>
      <c r="M6" s="2715"/>
      <c r="N6" s="2715"/>
      <c r="O6" s="2715"/>
      <c r="P6" s="3771"/>
      <c r="Q6" s="3738"/>
      <c r="R6" s="3741"/>
      <c r="S6" s="3742"/>
      <c r="T6" s="3743"/>
      <c r="U6" s="3744"/>
      <c r="V6" s="3745"/>
      <c r="W6" s="3745"/>
      <c r="X6" s="1355"/>
      <c r="Y6" s="3743"/>
      <c r="Z6" s="3744"/>
      <c r="AA6" s="3728"/>
      <c r="AB6" s="3728"/>
      <c r="AC6" s="3767"/>
    </row>
    <row r="7" spans="1:29" s="108" customFormat="1" ht="15.75" thickBot="1">
      <c r="A7" s="362" t="s">
        <v>1676</v>
      </c>
      <c r="B7" s="363"/>
      <c r="C7" s="364">
        <f>'数据-取费表'!B2</f>
        <v>45405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0" t="s">
        <v>1677</v>
      </c>
      <c r="Q7" s="3752"/>
      <c r="R7" s="701" t="s">
        <v>14</v>
      </c>
      <c r="S7" s="702">
        <f t="shared" ref="S7:S15" si="0">F7</f>
        <v>0</v>
      </c>
      <c r="T7" s="701" t="s">
        <v>14</v>
      </c>
      <c r="U7" s="702">
        <f t="shared" ref="U7:U15" si="1">H7</f>
        <v>0</v>
      </c>
      <c r="V7" s="701" t="s">
        <v>14</v>
      </c>
      <c r="W7" s="702">
        <f t="shared" ref="W7:W15" si="2">J7</f>
        <v>0</v>
      </c>
      <c r="X7" s="703"/>
      <c r="Y7" s="3750" t="s">
        <v>1677</v>
      </c>
      <c r="Z7" s="3751"/>
      <c r="AA7" s="704" t="e">
        <f>D7/F7</f>
        <v>#DIV/0!</v>
      </c>
      <c r="AB7" s="704" t="e">
        <f>D7/H7</f>
        <v>#DIV/0!</v>
      </c>
      <c r="AC7" s="1959"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0" t="s">
        <v>1680</v>
      </c>
      <c r="Q8" s="3751"/>
      <c r="R8" s="701" t="s">
        <v>14</v>
      </c>
      <c r="S8" s="702">
        <f t="shared" si="0"/>
        <v>100</v>
      </c>
      <c r="T8" s="701" t="s">
        <v>14</v>
      </c>
      <c r="U8" s="702">
        <f t="shared" si="1"/>
        <v>100</v>
      </c>
      <c r="V8" s="701" t="s">
        <v>14</v>
      </c>
      <c r="W8" s="702">
        <f t="shared" si="2"/>
        <v>100</v>
      </c>
      <c r="X8" s="703"/>
      <c r="Y8" s="3750" t="s">
        <v>1680</v>
      </c>
      <c r="Z8" s="3751"/>
      <c r="AA8" s="704">
        <f t="shared" ref="AA8:AA47" si="3">D8/F8</f>
        <v>1</v>
      </c>
      <c r="AB8" s="704">
        <f t="shared" ref="AB8:AB47" si="4">D8/H8</f>
        <v>1</v>
      </c>
      <c r="AC8" s="1959">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25" t="s">
        <v>1683</v>
      </c>
      <c r="Q9" s="1343" t="str">
        <f t="shared" ref="Q9:Q15" si="6">B9</f>
        <v>用途</v>
      </c>
      <c r="R9" s="701" t="s">
        <v>14</v>
      </c>
      <c r="S9" s="702">
        <f t="shared" si="0"/>
        <v>100</v>
      </c>
      <c r="T9" s="701" t="s">
        <v>14</v>
      </c>
      <c r="U9" s="702">
        <f t="shared" si="1"/>
        <v>100</v>
      </c>
      <c r="V9" s="701" t="s">
        <v>14</v>
      </c>
      <c r="W9" s="702">
        <f t="shared" si="2"/>
        <v>100</v>
      </c>
      <c r="X9" s="703"/>
      <c r="Y9" s="3589" t="s">
        <v>1684</v>
      </c>
      <c r="Z9" s="52" t="str">
        <f t="shared" ref="Z9:Z15" si="7">Q9</f>
        <v>用途</v>
      </c>
      <c r="AA9" s="704">
        <f t="shared" si="3"/>
        <v>1</v>
      </c>
      <c r="AB9" s="704">
        <f t="shared" si="4"/>
        <v>1</v>
      </c>
      <c r="AC9" s="1959">
        <f t="shared" si="5"/>
        <v>1</v>
      </c>
    </row>
    <row r="10" spans="1:29" s="378" customFormat="1" ht="27">
      <c r="A10" s="374"/>
      <c r="B10" s="375" t="s">
        <v>1685</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25"/>
      <c r="Q10" s="1343" t="str">
        <f t="shared" si="6"/>
        <v>土地使用年限（年）</v>
      </c>
      <c r="R10" s="701" t="s">
        <v>14</v>
      </c>
      <c r="S10" s="702">
        <f t="shared" si="0"/>
        <v>100</v>
      </c>
      <c r="T10" s="701" t="s">
        <v>14</v>
      </c>
      <c r="U10" s="702">
        <f t="shared" si="1"/>
        <v>100</v>
      </c>
      <c r="V10" s="701" t="s">
        <v>14</v>
      </c>
      <c r="W10" s="702">
        <f t="shared" si="2"/>
        <v>100</v>
      </c>
      <c r="X10" s="703"/>
      <c r="Y10" s="3589"/>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5"/>
      <c r="Q11" s="1343" t="str">
        <f t="shared" si="6"/>
        <v>容积率</v>
      </c>
      <c r="R11" s="701" t="s">
        <v>14</v>
      </c>
      <c r="S11" s="702">
        <f t="shared" si="0"/>
        <v>100</v>
      </c>
      <c r="T11" s="701" t="s">
        <v>14</v>
      </c>
      <c r="U11" s="702">
        <f t="shared" si="1"/>
        <v>100</v>
      </c>
      <c r="V11" s="701" t="s">
        <v>14</v>
      </c>
      <c r="W11" s="702">
        <f t="shared" si="2"/>
        <v>100</v>
      </c>
      <c r="X11" s="703"/>
      <c r="Y11" s="358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25"/>
      <c r="Q12" s="1343">
        <f t="shared" si="6"/>
        <v>111</v>
      </c>
      <c r="R12" s="701" t="s">
        <v>14</v>
      </c>
      <c r="S12" s="702">
        <f t="shared" si="0"/>
        <v>100</v>
      </c>
      <c r="T12" s="701" t="s">
        <v>14</v>
      </c>
      <c r="U12" s="702">
        <f t="shared" si="1"/>
        <v>100</v>
      </c>
      <c r="V12" s="701" t="s">
        <v>14</v>
      </c>
      <c r="W12" s="702">
        <f t="shared" si="2"/>
        <v>100</v>
      </c>
      <c r="X12" s="703"/>
      <c r="Y12" s="358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25"/>
      <c r="Q13" s="1343">
        <f t="shared" si="6"/>
        <v>111</v>
      </c>
      <c r="R13" s="701" t="s">
        <v>14</v>
      </c>
      <c r="S13" s="702">
        <f t="shared" si="0"/>
        <v>100</v>
      </c>
      <c r="T13" s="701" t="s">
        <v>14</v>
      </c>
      <c r="U13" s="702">
        <f t="shared" si="1"/>
        <v>100</v>
      </c>
      <c r="V13" s="701" t="s">
        <v>14</v>
      </c>
      <c r="W13" s="702">
        <f t="shared" si="2"/>
        <v>100</v>
      </c>
      <c r="X13" s="703"/>
      <c r="Y13" s="358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25"/>
      <c r="Q14" s="1343">
        <f t="shared" si="6"/>
        <v>111</v>
      </c>
      <c r="R14" s="701" t="s">
        <v>14</v>
      </c>
      <c r="S14" s="702">
        <f t="shared" si="0"/>
        <v>100</v>
      </c>
      <c r="T14" s="701" t="s">
        <v>14</v>
      </c>
      <c r="U14" s="702">
        <f t="shared" si="1"/>
        <v>100</v>
      </c>
      <c r="V14" s="701" t="s">
        <v>14</v>
      </c>
      <c r="W14" s="702">
        <f t="shared" si="2"/>
        <v>100</v>
      </c>
      <c r="X14" s="703"/>
      <c r="Y14" s="3589"/>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3" t="s">
        <v>1688</v>
      </c>
      <c r="Q15" s="1352" t="str">
        <f t="shared" si="6"/>
        <v>办公集聚程度</v>
      </c>
      <c r="R15" s="705" t="s">
        <v>14</v>
      </c>
      <c r="S15" s="706">
        <f t="shared" si="0"/>
        <v>100</v>
      </c>
      <c r="T15" s="705" t="s">
        <v>14</v>
      </c>
      <c r="U15" s="706">
        <f t="shared" si="1"/>
        <v>100</v>
      </c>
      <c r="V15" s="705" t="s">
        <v>14</v>
      </c>
      <c r="W15" s="706">
        <f t="shared" si="2"/>
        <v>100</v>
      </c>
      <c r="X15" s="1355"/>
      <c r="Y15" s="3716"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4"/>
      <c r="Q16" s="1352"/>
      <c r="R16" s="705"/>
      <c r="S16" s="706"/>
      <c r="T16" s="705"/>
      <c r="U16" s="706"/>
      <c r="V16" s="705"/>
      <c r="W16" s="706"/>
      <c r="X16" s="1355"/>
      <c r="Y16" s="3717"/>
      <c r="Z16" s="1356"/>
      <c r="AA16" s="1353">
        <v>1</v>
      </c>
      <c r="AB16" s="1353">
        <v>1</v>
      </c>
      <c r="AC16" s="1962">
        <v>1</v>
      </c>
    </row>
    <row r="17" spans="1:29" ht="71.25">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4"/>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4"/>
      <c r="Q18" s="1352"/>
      <c r="R18" s="705"/>
      <c r="S18" s="706"/>
      <c r="T18" s="705"/>
      <c r="U18" s="706"/>
      <c r="V18" s="705"/>
      <c r="W18" s="706"/>
      <c r="X18" s="1355"/>
      <c r="Y18" s="3717"/>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4"/>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4"/>
      <c r="Q20" s="1352"/>
      <c r="R20" s="705"/>
      <c r="S20" s="706"/>
      <c r="T20" s="705"/>
      <c r="U20" s="706"/>
      <c r="V20" s="705"/>
      <c r="W20" s="706"/>
      <c r="X20" s="1355"/>
      <c r="Y20" s="3717"/>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4"/>
      <c r="Q22" s="1352"/>
      <c r="R22" s="705"/>
      <c r="S22" s="706"/>
      <c r="T22" s="705"/>
      <c r="U22" s="706"/>
      <c r="V22" s="705"/>
      <c r="W22" s="706"/>
      <c r="X22" s="1355"/>
      <c r="Y22" s="3717"/>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4"/>
      <c r="Q23" s="1352" t="str">
        <f>B23</f>
        <v>环境质量</v>
      </c>
      <c r="R23" s="705" t="s">
        <v>14</v>
      </c>
      <c r="S23" s="706">
        <f>F23</f>
        <v>100</v>
      </c>
      <c r="T23" s="705" t="s">
        <v>14</v>
      </c>
      <c r="U23" s="706">
        <f>H23</f>
        <v>100</v>
      </c>
      <c r="V23" s="705" t="s">
        <v>14</v>
      </c>
      <c r="W23" s="706">
        <f>J23</f>
        <v>100</v>
      </c>
      <c r="X23" s="1355"/>
      <c r="Y23" s="371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4"/>
      <c r="Q24" s="1352"/>
      <c r="R24" s="705"/>
      <c r="S24" s="706"/>
      <c r="T24" s="705"/>
      <c r="U24" s="706"/>
      <c r="V24" s="705"/>
      <c r="W24" s="706"/>
      <c r="X24" s="1355"/>
      <c r="Y24" s="3717"/>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4"/>
      <c r="Q25" s="1352" t="str">
        <f>B25</f>
        <v>毗邻道路的类型与等级</v>
      </c>
      <c r="R25" s="705" t="s">
        <v>14</v>
      </c>
      <c r="S25" s="706">
        <f>F25</f>
        <v>100</v>
      </c>
      <c r="T25" s="705" t="s">
        <v>14</v>
      </c>
      <c r="U25" s="706">
        <f>H25</f>
        <v>100</v>
      </c>
      <c r="V25" s="705" t="s">
        <v>14</v>
      </c>
      <c r="W25" s="706">
        <f>J25</f>
        <v>100</v>
      </c>
      <c r="X25" s="1355"/>
      <c r="Y25" s="371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4"/>
      <c r="Q26" s="1352"/>
      <c r="R26" s="705"/>
      <c r="S26" s="706"/>
      <c r="T26" s="705"/>
      <c r="U26" s="706"/>
      <c r="V26" s="705"/>
      <c r="W26" s="706"/>
      <c r="X26" s="1355"/>
      <c r="Y26" s="3717"/>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4"/>
      <c r="Q27" s="1352" t="str">
        <f t="shared" ref="Q27:Q47" si="11">B27</f>
        <v>楼层</v>
      </c>
      <c r="R27" s="705" t="s">
        <v>14</v>
      </c>
      <c r="S27" s="706">
        <f>F27</f>
        <v>100</v>
      </c>
      <c r="T27" s="705" t="s">
        <v>14</v>
      </c>
      <c r="U27" s="706">
        <f>H27</f>
        <v>100</v>
      </c>
      <c r="V27" s="705" t="s">
        <v>14</v>
      </c>
      <c r="W27" s="706">
        <f>J27</f>
        <v>100</v>
      </c>
      <c r="X27" s="1355"/>
      <c r="Y27" s="3717"/>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4"/>
      <c r="Q28" s="1343" t="str">
        <f t="shared" si="11"/>
        <v>朝向</v>
      </c>
      <c r="R28" s="701" t="s">
        <v>14</v>
      </c>
      <c r="S28" s="702">
        <f>F28</f>
        <v>100</v>
      </c>
      <c r="T28" s="701" t="s">
        <v>14</v>
      </c>
      <c r="U28" s="702">
        <f>H28</f>
        <v>100</v>
      </c>
      <c r="V28" s="701" t="s">
        <v>14</v>
      </c>
      <c r="W28" s="702">
        <f>J28</f>
        <v>100</v>
      </c>
      <c r="X28" s="703"/>
      <c r="Y28" s="371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4"/>
      <c r="Q29" s="1352">
        <f t="shared" si="11"/>
        <v>111</v>
      </c>
      <c r="R29" s="705" t="s">
        <v>14</v>
      </c>
      <c r="S29" s="706">
        <f t="shared" ref="S29:S47" si="12">F29</f>
        <v>100</v>
      </c>
      <c r="T29" s="705" t="s">
        <v>14</v>
      </c>
      <c r="U29" s="706">
        <f t="shared" ref="U29:U47" si="13">H29</f>
        <v>100</v>
      </c>
      <c r="V29" s="705" t="s">
        <v>14</v>
      </c>
      <c r="W29" s="706">
        <f t="shared" ref="W29:W47" si="14">J29</f>
        <v>100</v>
      </c>
      <c r="X29" s="1355"/>
      <c r="Y29" s="371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4"/>
      <c r="Q30" s="1352">
        <f t="shared" si="11"/>
        <v>111</v>
      </c>
      <c r="R30" s="705" t="s">
        <v>14</v>
      </c>
      <c r="S30" s="706">
        <f t="shared" si="12"/>
        <v>100</v>
      </c>
      <c r="T30" s="705" t="s">
        <v>14</v>
      </c>
      <c r="U30" s="706">
        <f t="shared" si="13"/>
        <v>100</v>
      </c>
      <c r="V30" s="705" t="s">
        <v>14</v>
      </c>
      <c r="W30" s="706">
        <f t="shared" si="14"/>
        <v>100</v>
      </c>
      <c r="X30" s="1355"/>
      <c r="Y30" s="371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4"/>
      <c r="Q31" s="1352">
        <f t="shared" si="11"/>
        <v>111</v>
      </c>
      <c r="R31" s="705" t="s">
        <v>14</v>
      </c>
      <c r="S31" s="706">
        <f t="shared" si="12"/>
        <v>100</v>
      </c>
      <c r="T31" s="705" t="s">
        <v>14</v>
      </c>
      <c r="U31" s="706">
        <f t="shared" si="13"/>
        <v>100</v>
      </c>
      <c r="V31" s="705" t="s">
        <v>14</v>
      </c>
      <c r="W31" s="706">
        <f t="shared" si="14"/>
        <v>100</v>
      </c>
      <c r="X31" s="1355"/>
      <c r="Y31" s="371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4"/>
      <c r="Q32" s="1352">
        <f t="shared" si="11"/>
        <v>111</v>
      </c>
      <c r="R32" s="705" t="s">
        <v>14</v>
      </c>
      <c r="S32" s="706">
        <f t="shared" si="12"/>
        <v>100</v>
      </c>
      <c r="T32" s="705" t="s">
        <v>14</v>
      </c>
      <c r="U32" s="706">
        <f t="shared" si="13"/>
        <v>100</v>
      </c>
      <c r="V32" s="705" t="s">
        <v>14</v>
      </c>
      <c r="W32" s="706">
        <f t="shared" si="14"/>
        <v>100</v>
      </c>
      <c r="X32" s="1355"/>
      <c r="Y32" s="3717"/>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18" t="s">
        <v>1693</v>
      </c>
      <c r="Q33" s="1352" t="str">
        <f t="shared" si="11"/>
        <v>建筑类型</v>
      </c>
      <c r="R33" s="705" t="s">
        <v>14</v>
      </c>
      <c r="S33" s="706">
        <f t="shared" si="12"/>
        <v>100</v>
      </c>
      <c r="T33" s="705" t="s">
        <v>14</v>
      </c>
      <c r="U33" s="706">
        <f t="shared" si="13"/>
        <v>100</v>
      </c>
      <c r="V33" s="705" t="s">
        <v>14</v>
      </c>
      <c r="W33" s="706">
        <f t="shared" si="14"/>
        <v>100</v>
      </c>
      <c r="X33" s="1355"/>
      <c r="Y33" s="3721"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719"/>
      <c r="Q34" s="707" t="str">
        <f t="shared" si="11"/>
        <v>项目建筑规模</v>
      </c>
      <c r="R34" s="708" t="s">
        <v>14</v>
      </c>
      <c r="S34" s="709">
        <f t="shared" si="12"/>
        <v>100</v>
      </c>
      <c r="T34" s="708" t="s">
        <v>14</v>
      </c>
      <c r="U34" s="709">
        <f t="shared" si="13"/>
        <v>100</v>
      </c>
      <c r="V34" s="708" t="s">
        <v>14</v>
      </c>
      <c r="W34" s="709">
        <f t="shared" si="14"/>
        <v>100</v>
      </c>
      <c r="X34" s="710"/>
      <c r="Y34" s="3721"/>
      <c r="Z34" s="711" t="str">
        <f t="shared" si="15"/>
        <v>项目建筑规模</v>
      </c>
      <c r="AA34" s="1353">
        <f t="shared" si="3"/>
        <v>1</v>
      </c>
      <c r="AB34" s="1353">
        <f t="shared" si="4"/>
        <v>1</v>
      </c>
      <c r="AC34" s="1962">
        <f t="shared" si="5"/>
        <v>1</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9"/>
      <c r="Q35" s="1352" t="str">
        <f t="shared" si="11"/>
        <v>建筑结构</v>
      </c>
      <c r="R35" s="705" t="s">
        <v>14</v>
      </c>
      <c r="S35" s="706">
        <f t="shared" si="12"/>
        <v>100</v>
      </c>
      <c r="T35" s="705" t="s">
        <v>14</v>
      </c>
      <c r="U35" s="706">
        <f t="shared" si="13"/>
        <v>100</v>
      </c>
      <c r="V35" s="705" t="s">
        <v>14</v>
      </c>
      <c r="W35" s="706">
        <f t="shared" si="14"/>
        <v>100</v>
      </c>
      <c r="X35" s="1355"/>
      <c r="Y35" s="3721"/>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9"/>
      <c r="Q36" s="1352" t="str">
        <f t="shared" si="11"/>
        <v>公共部分装修</v>
      </c>
      <c r="R36" s="705" t="s">
        <v>14</v>
      </c>
      <c r="S36" s="706">
        <f t="shared" si="12"/>
        <v>100</v>
      </c>
      <c r="T36" s="705" t="s">
        <v>14</v>
      </c>
      <c r="U36" s="706">
        <f t="shared" si="13"/>
        <v>100</v>
      </c>
      <c r="V36" s="705" t="s">
        <v>14</v>
      </c>
      <c r="W36" s="706">
        <f t="shared" si="14"/>
        <v>100</v>
      </c>
      <c r="X36" s="1355"/>
      <c r="Y36" s="3721"/>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9"/>
      <c r="Q37" s="1352" t="str">
        <f t="shared" si="11"/>
        <v>成新度</v>
      </c>
      <c r="R37" s="705" t="s">
        <v>14</v>
      </c>
      <c r="S37" s="706" t="e">
        <f t="shared" si="12"/>
        <v>#N/A</v>
      </c>
      <c r="T37" s="705" t="s">
        <v>14</v>
      </c>
      <c r="U37" s="706" t="e">
        <f t="shared" si="13"/>
        <v>#N/A</v>
      </c>
      <c r="V37" s="705" t="s">
        <v>14</v>
      </c>
      <c r="W37" s="706" t="e">
        <f t="shared" si="14"/>
        <v>#N/A</v>
      </c>
      <c r="X37" s="1355"/>
      <c r="Y37" s="3721"/>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9"/>
      <c r="Q38" s="1343" t="str">
        <f t="shared" si="11"/>
        <v>写字楼等级</v>
      </c>
      <c r="R38" s="701" t="s">
        <v>14</v>
      </c>
      <c r="S38" s="702">
        <f t="shared" si="12"/>
        <v>100</v>
      </c>
      <c r="T38" s="701" t="s">
        <v>14</v>
      </c>
      <c r="U38" s="702">
        <f t="shared" si="13"/>
        <v>100</v>
      </c>
      <c r="V38" s="701" t="s">
        <v>14</v>
      </c>
      <c r="W38" s="702">
        <f t="shared" si="14"/>
        <v>100</v>
      </c>
      <c r="X38" s="703"/>
      <c r="Y38" s="3721"/>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9" t="s">
        <v>1693</v>
      </c>
      <c r="Q39" s="1352" t="str">
        <f t="shared" si="11"/>
        <v>物业管理</v>
      </c>
      <c r="R39" s="705" t="s">
        <v>14</v>
      </c>
      <c r="S39" s="706">
        <f t="shared" si="12"/>
        <v>100</v>
      </c>
      <c r="T39" s="705" t="s">
        <v>14</v>
      </c>
      <c r="U39" s="706">
        <f t="shared" si="13"/>
        <v>100</v>
      </c>
      <c r="V39" s="705" t="s">
        <v>14</v>
      </c>
      <c r="W39" s="706">
        <f t="shared" si="14"/>
        <v>100</v>
      </c>
      <c r="X39" s="1355"/>
      <c r="Y39" s="3721"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9"/>
      <c r="Q40" s="1352" t="str">
        <f t="shared" si="11"/>
        <v>市政基础设施</v>
      </c>
      <c r="R40" s="705" t="s">
        <v>14</v>
      </c>
      <c r="S40" s="706">
        <f t="shared" si="12"/>
        <v>100</v>
      </c>
      <c r="T40" s="705" t="s">
        <v>14</v>
      </c>
      <c r="U40" s="706">
        <f t="shared" si="13"/>
        <v>100</v>
      </c>
      <c r="V40" s="705" t="s">
        <v>14</v>
      </c>
      <c r="W40" s="706">
        <f t="shared" si="14"/>
        <v>100</v>
      </c>
      <c r="X40" s="1355"/>
      <c r="Y40" s="3721"/>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9"/>
      <c r="Q41" s="1352" t="str">
        <f t="shared" si="11"/>
        <v>层高</v>
      </c>
      <c r="R41" s="705" t="s">
        <v>14</v>
      </c>
      <c r="S41" s="706">
        <f t="shared" si="12"/>
        <v>100</v>
      </c>
      <c r="T41" s="705" t="s">
        <v>14</v>
      </c>
      <c r="U41" s="706">
        <f t="shared" si="13"/>
        <v>100</v>
      </c>
      <c r="V41" s="705" t="s">
        <v>14</v>
      </c>
      <c r="W41" s="706">
        <f t="shared" si="14"/>
        <v>100</v>
      </c>
      <c r="X41" s="1355"/>
      <c r="Y41" s="3721"/>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9"/>
      <c r="Q42" s="707" t="str">
        <f t="shared" si="11"/>
        <v>单套建筑面积</v>
      </c>
      <c r="R42" s="708" t="s">
        <v>14</v>
      </c>
      <c r="S42" s="709">
        <f t="shared" si="12"/>
        <v>100</v>
      </c>
      <c r="T42" s="708" t="s">
        <v>14</v>
      </c>
      <c r="U42" s="709">
        <f t="shared" si="13"/>
        <v>100</v>
      </c>
      <c r="V42" s="708" t="s">
        <v>14</v>
      </c>
      <c r="W42" s="709">
        <f t="shared" si="14"/>
        <v>100</v>
      </c>
      <c r="X42" s="710"/>
      <c r="Y42" s="3721"/>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9"/>
      <c r="Q43" s="1352" t="str">
        <f t="shared" si="11"/>
        <v>内部装修</v>
      </c>
      <c r="R43" s="705" t="s">
        <v>14</v>
      </c>
      <c r="S43" s="706">
        <f t="shared" si="12"/>
        <v>100</v>
      </c>
      <c r="T43" s="705" t="s">
        <v>14</v>
      </c>
      <c r="U43" s="706">
        <f t="shared" si="13"/>
        <v>100</v>
      </c>
      <c r="V43" s="705" t="s">
        <v>14</v>
      </c>
      <c r="W43" s="706">
        <f t="shared" si="14"/>
        <v>100</v>
      </c>
      <c r="X43" s="1355"/>
      <c r="Y43" s="3721"/>
      <c r="Z43" s="1356" t="str">
        <f t="shared" si="15"/>
        <v>内部装修</v>
      </c>
      <c r="AA43" s="1353">
        <f t="shared" si="3"/>
        <v>1</v>
      </c>
      <c r="AB43" s="1353">
        <f t="shared" si="4"/>
        <v>1</v>
      </c>
      <c r="AC43" s="1962">
        <f t="shared" si="5"/>
        <v>1</v>
      </c>
    </row>
    <row r="44" spans="1:29" ht="15">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9"/>
      <c r="Q44" s="1352" t="str">
        <f t="shared" si="11"/>
        <v>内部装修维护情况</v>
      </c>
      <c r="R44" s="705" t="s">
        <v>14</v>
      </c>
      <c r="S44" s="706">
        <f t="shared" si="12"/>
        <v>100</v>
      </c>
      <c r="T44" s="705" t="s">
        <v>14</v>
      </c>
      <c r="U44" s="706">
        <f t="shared" si="13"/>
        <v>100</v>
      </c>
      <c r="V44" s="705" t="s">
        <v>14</v>
      </c>
      <c r="W44" s="706">
        <f t="shared" si="14"/>
        <v>100</v>
      </c>
      <c r="X44" s="1355"/>
      <c r="Y44" s="372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9"/>
      <c r="Q45" s="1343">
        <f t="shared" si="11"/>
        <v>111</v>
      </c>
      <c r="R45" s="701" t="s">
        <v>14</v>
      </c>
      <c r="S45" s="702">
        <f t="shared" si="12"/>
        <v>100</v>
      </c>
      <c r="T45" s="701" t="s">
        <v>14</v>
      </c>
      <c r="U45" s="702">
        <f t="shared" si="13"/>
        <v>100</v>
      </c>
      <c r="V45" s="701" t="s">
        <v>14</v>
      </c>
      <c r="W45" s="702">
        <f t="shared" si="14"/>
        <v>100</v>
      </c>
      <c r="X45" s="703"/>
      <c r="Y45" s="372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9"/>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0"/>
      <c r="Q47" s="1352">
        <f t="shared" si="11"/>
        <v>111</v>
      </c>
      <c r="R47" s="705" t="s">
        <v>14</v>
      </c>
      <c r="S47" s="706">
        <f t="shared" si="12"/>
        <v>100</v>
      </c>
      <c r="T47" s="705" t="s">
        <v>14</v>
      </c>
      <c r="U47" s="706">
        <f t="shared" si="13"/>
        <v>100</v>
      </c>
      <c r="V47" s="705" t="s">
        <v>14</v>
      </c>
      <c r="W47" s="706">
        <f t="shared" si="14"/>
        <v>100</v>
      </c>
      <c r="X47" s="1355"/>
      <c r="Y47" s="3722"/>
      <c r="Z47" s="1356">
        <f t="shared" si="15"/>
        <v>111</v>
      </c>
      <c r="AA47" s="1353">
        <f t="shared" si="3"/>
        <v>1</v>
      </c>
      <c r="AB47" s="1353">
        <f t="shared" si="4"/>
        <v>1</v>
      </c>
      <c r="AC47" s="1962">
        <f t="shared" si="5"/>
        <v>1</v>
      </c>
    </row>
    <row r="48" spans="1:29" ht="15">
      <c r="A48" s="430" t="s">
        <v>1705</v>
      </c>
      <c r="B48" s="431"/>
      <c r="C48" s="1154" t="s">
        <v>0</v>
      </c>
      <c r="D48" s="1155"/>
      <c r="E48" s="1156"/>
      <c r="F48" s="1157"/>
      <c r="G48" s="1158"/>
      <c r="H48" s="1159"/>
      <c r="I48" s="1156"/>
      <c r="J48" s="436"/>
      <c r="K48" s="714"/>
      <c r="L48" s="2723"/>
      <c r="M48" s="2715"/>
      <c r="N48" s="2715"/>
      <c r="O48" s="2715"/>
      <c r="P48" s="3725" t="str">
        <f>A48</f>
        <v>成交单价（元/平方米）</v>
      </c>
      <c r="Q48" s="3714"/>
      <c r="R48" s="3715">
        <f>E48</f>
        <v>0</v>
      </c>
      <c r="S48" s="3715"/>
      <c r="T48" s="3715">
        <f>G48</f>
        <v>0</v>
      </c>
      <c r="U48" s="3715"/>
      <c r="V48" s="3715">
        <f>I48</f>
        <v>0</v>
      </c>
      <c r="W48" s="3715"/>
      <c r="X48" s="397"/>
      <c r="Y48" s="712"/>
      <c r="Z48" s="397"/>
      <c r="AA48" s="397"/>
      <c r="AB48" s="397"/>
      <c r="AC48" s="578"/>
    </row>
    <row r="49" spans="1:29" ht="15.75" thickBot="1">
      <c r="A49" s="437" t="s">
        <v>1790</v>
      </c>
      <c r="B49" s="438"/>
      <c r="C49" s="1160" t="e">
        <f>R50</f>
        <v>#DIV/0!</v>
      </c>
      <c r="D49" s="2317" t="s">
        <v>2134</v>
      </c>
      <c r="E49" s="1161" t="e">
        <f>R49</f>
        <v>#DIV/0!</v>
      </c>
      <c r="F49" s="2318"/>
      <c r="G49" s="1160" t="e">
        <f>T49</f>
        <v>#DIV/0!</v>
      </c>
      <c r="H49" s="2318"/>
      <c r="I49" s="1161" t="e">
        <f>V49</f>
        <v>#DIV/0!</v>
      </c>
      <c r="J49" s="2318"/>
      <c r="K49" s="2320">
        <f>F49+H49+J49</f>
        <v>0</v>
      </c>
      <c r="L49" s="2723"/>
      <c r="M49" s="2715"/>
      <c r="N49" s="2715"/>
      <c r="O49" s="2715"/>
      <c r="P49" s="3725" t="str">
        <f>A49</f>
        <v>比较价值（元/平方米）</v>
      </c>
      <c r="Q49" s="3714"/>
      <c r="R49" s="3715" t="e">
        <f>IF(F1="售价",ROUND(PRODUCT(R48,AA7:AA47),0),ROUND(PRODUCT(R48,AA7:AA47),1))</f>
        <v>#DIV/0!</v>
      </c>
      <c r="S49" s="3715"/>
      <c r="T49" s="3715" t="e">
        <f>IF(F1="售价",ROUND(PRODUCT(T48,AB7:AB47),0),ROUND(PRODUCT(T48,AB7:AB47),1))</f>
        <v>#DIV/0!</v>
      </c>
      <c r="U49" s="3715"/>
      <c r="V49" s="3715" t="e">
        <f>IF(F1="售价",ROUND(PRODUCT(V48,AC7:AC47),0),ROUND(PRODUCT(V48,AC7:AC47),1))</f>
        <v>#DIV/0!</v>
      </c>
      <c r="W49" s="3715"/>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3"/>
      <c r="M50" s="2715"/>
      <c r="N50" s="2715"/>
      <c r="O50" s="2715"/>
      <c r="P50" s="3757" t="str">
        <f>A50</f>
        <v>估价对象XX用房的比较价值（楼面单价，元/平方米）</v>
      </c>
      <c r="Q50" s="3758"/>
      <c r="R50" s="3759" t="e">
        <f>IF(F1="售价",ROUND(IF(D49="简单平均",AVERAGE(R49:V49),R49*F49+T49*H49+V49*J49),0),ROUND(IF(D49="简单平均",AVERAGE(R49:V49),R49*F49+T49*H49+V49*J49),1))</f>
        <v>#DIV/0!</v>
      </c>
      <c r="S50" s="3759"/>
      <c r="T50" s="3759"/>
      <c r="U50" s="3759"/>
      <c r="V50" s="3759"/>
      <c r="W50" s="375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1795</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1773</v>
      </c>
      <c r="D62" s="3461" t="s">
        <v>3435</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t="s">
        <v>3404</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hidden="1"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hidden="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hidden="1"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hidden="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hidden="1"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hidden="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3466" t="s">
        <v>3433</v>
      </c>
      <c r="D87" s="3466" t="s">
        <v>3434</v>
      </c>
      <c r="E87" s="3466" t="s">
        <v>3405</v>
      </c>
      <c r="F87" s="3466" t="s">
        <v>3406</v>
      </c>
      <c r="G87" s="3466" t="s">
        <v>3407</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3" t="s">
        <v>3408</v>
      </c>
      <c r="D89" s="3463" t="s">
        <v>3410</v>
      </c>
      <c r="E89" s="3463" t="s">
        <v>3412</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hidden="1"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hidden="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hidden="1"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hidden="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hidden="1"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hidden="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hidden="1"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hidden="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1691</v>
      </c>
      <c r="B101" s="477" t="s">
        <v>1733</v>
      </c>
      <c r="C101" s="3464" t="s">
        <v>3414</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1734</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463" t="s">
        <v>3422</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463" t="s">
        <v>3415</v>
      </c>
      <c r="D108" s="3463" t="s">
        <v>3416</v>
      </c>
      <c r="E108" s="3463" t="s">
        <v>3417</v>
      </c>
      <c r="F108" s="3465" t="s">
        <v>3418</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463" t="s">
        <v>3420</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463" t="s">
        <v>3427</v>
      </c>
      <c r="D115" s="3463" t="s">
        <v>3426</v>
      </c>
      <c r="E115" s="3465" t="s">
        <v>3425</v>
      </c>
      <c r="F115" s="3465" t="s">
        <v>3424</v>
      </c>
      <c r="G115" s="3465" t="s">
        <v>3423</v>
      </c>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463" t="s">
        <v>3429</v>
      </c>
      <c r="D117" s="3463" t="s">
        <v>3430</v>
      </c>
      <c r="E117" s="3463" t="s">
        <v>3432</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463" t="s">
        <v>3415</v>
      </c>
      <c r="D123" s="3463" t="s">
        <v>3416</v>
      </c>
      <c r="E123" s="3463" t="s">
        <v>3417</v>
      </c>
      <c r="F123" s="3465" t="s">
        <v>3418</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hidden="1"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hidden="1"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hidden="1"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hidden="1"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hidden="1"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hidden="1"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row r="133" spans="1:29" ht="15"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3" priority="20" stopIfTrue="1" operator="containsText" text="超过">
      <formula>NOT(ISERROR(SEARCH("超过",F53)))</formula>
    </cfRule>
  </conditionalFormatting>
  <conditionalFormatting sqref="H55">
    <cfRule type="containsText" dxfId="152" priority="19" stopIfTrue="1" operator="containsText" text="超过">
      <formula>NOT(ISERROR(SEARCH("超过",H55)))</formula>
    </cfRule>
  </conditionalFormatting>
  <conditionalFormatting sqref="F55">
    <cfRule type="containsText" dxfId="151" priority="18" stopIfTrue="1" operator="containsText" text="超过">
      <formula>NOT(ISERROR(SEARCH("超过",F55)))</formula>
    </cfRule>
  </conditionalFormatting>
  <conditionalFormatting sqref="F54 H54">
    <cfRule type="containsText" dxfId="150" priority="17" stopIfTrue="1" operator="containsText" text="超过">
      <formula>NOT(ISERROR(SEARCH("超过",F54)))</formula>
    </cfRule>
  </conditionalFormatting>
  <conditionalFormatting sqref="E53">
    <cfRule type="expression" dxfId="149" priority="16" stopIfTrue="1">
      <formula>$F$53="超过30%"</formula>
    </cfRule>
  </conditionalFormatting>
  <conditionalFormatting sqref="E54">
    <cfRule type="expression" dxfId="148" priority="15" stopIfTrue="1">
      <formula>$F$54="超过20%"</formula>
    </cfRule>
  </conditionalFormatting>
  <conditionalFormatting sqref="E55">
    <cfRule type="expression" dxfId="147" priority="14" stopIfTrue="1">
      <formula>$F$55="超过30%"</formula>
    </cfRule>
  </conditionalFormatting>
  <conditionalFormatting sqref="G55">
    <cfRule type="expression" dxfId="146" priority="13" stopIfTrue="1">
      <formula>$H$55="超过30%"</formula>
    </cfRule>
  </conditionalFormatting>
  <conditionalFormatting sqref="G53">
    <cfRule type="expression" dxfId="145" priority="12" stopIfTrue="1">
      <formula>$H$53="超过30%"</formula>
    </cfRule>
  </conditionalFormatting>
  <conditionalFormatting sqref="G54">
    <cfRule type="expression" dxfId="144" priority="11" stopIfTrue="1">
      <formula>$H$54="超过20%"</formula>
    </cfRule>
  </conditionalFormatting>
  <conditionalFormatting sqref="J53">
    <cfRule type="containsText" dxfId="143" priority="10" stopIfTrue="1" operator="containsText" text="超过">
      <formula>NOT(ISERROR(SEARCH("超过",J53)))</formula>
    </cfRule>
  </conditionalFormatting>
  <conditionalFormatting sqref="J55">
    <cfRule type="containsText" dxfId="142" priority="9" stopIfTrue="1" operator="containsText" text="超过">
      <formula>NOT(ISERROR(SEARCH("超过",J55)))</formula>
    </cfRule>
  </conditionalFormatting>
  <conditionalFormatting sqref="J54">
    <cfRule type="containsText" dxfId="141" priority="8" stopIfTrue="1" operator="containsText" text="超过">
      <formula>NOT(ISERROR(SEARCH("超过",J54)))</formula>
    </cfRule>
  </conditionalFormatting>
  <conditionalFormatting sqref="I53">
    <cfRule type="expression" dxfId="140" priority="7" stopIfTrue="1">
      <formula>$J$53="超过30%"</formula>
    </cfRule>
  </conditionalFormatting>
  <conditionalFormatting sqref="I54">
    <cfRule type="expression" dxfId="139" priority="6" stopIfTrue="1">
      <formula>$J$53+$J$54="超过20%"</formula>
    </cfRule>
  </conditionalFormatting>
  <conditionalFormatting sqref="I55">
    <cfRule type="expression" dxfId="138" priority="5" stopIfTrue="1">
      <formula>$J$55="超过30%"</formula>
    </cfRule>
  </conditionalFormatting>
  <conditionalFormatting sqref="F49">
    <cfRule type="expression" dxfId="137" priority="4">
      <formula>$D$49="简单平均"</formula>
    </cfRule>
  </conditionalFormatting>
  <conditionalFormatting sqref="H49">
    <cfRule type="expression" dxfId="136" priority="3">
      <formula>$D$49="简单平均"</formula>
    </cfRule>
  </conditionalFormatting>
  <conditionalFormatting sqref="J49">
    <cfRule type="expression" dxfId="135" priority="2">
      <formula>$D$49="简单平均"</formula>
    </cfRule>
  </conditionalFormatting>
  <conditionalFormatting sqref="F7:F47 H7:H47 J7:J47">
    <cfRule type="cellIs" dxfId="13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2"/>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139.07999999999998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29" t="s">
        <v>1767</v>
      </c>
      <c r="D4" s="3730"/>
      <c r="E4" s="3731" t="s">
        <v>1768</v>
      </c>
      <c r="F4" s="3732"/>
      <c r="G4" s="3729" t="s">
        <v>1769</v>
      </c>
      <c r="H4" s="3730"/>
      <c r="I4" s="3729" t="s">
        <v>1770</v>
      </c>
      <c r="J4" s="3730"/>
      <c r="K4" s="559" t="s">
        <v>1771</v>
      </c>
      <c r="L4" s="913"/>
      <c r="M4" s="914"/>
      <c r="N4" s="914"/>
      <c r="O4" s="914"/>
      <c r="P4" s="3733" t="s">
        <v>1772</v>
      </c>
      <c r="Q4" s="3734"/>
      <c r="R4" s="3739" t="s">
        <v>1768</v>
      </c>
      <c r="S4" s="3740"/>
      <c r="T4" s="3739" t="s">
        <v>1769</v>
      </c>
      <c r="U4" s="3740"/>
      <c r="V4" s="3745" t="s">
        <v>1770</v>
      </c>
      <c r="W4" s="3745"/>
      <c r="X4" s="1355"/>
      <c r="Y4" s="3739" t="s">
        <v>1772</v>
      </c>
      <c r="Z4" s="3740"/>
      <c r="AA4" s="3726" t="s">
        <v>1768</v>
      </c>
      <c r="AB4" s="3727" t="s">
        <v>1769</v>
      </c>
      <c r="AC4" s="3726" t="s">
        <v>1770</v>
      </c>
    </row>
    <row r="5" spans="1:29" ht="15">
      <c r="A5" s="358"/>
      <c r="B5" s="359"/>
      <c r="C5" s="3748" t="s">
        <v>1670</v>
      </c>
      <c r="D5" s="3749"/>
      <c r="E5" s="3755" t="s">
        <v>1671</v>
      </c>
      <c r="F5" s="3756"/>
      <c r="G5" s="3748" t="s">
        <v>1672</v>
      </c>
      <c r="H5" s="3749"/>
      <c r="I5" s="3748" t="s">
        <v>1673</v>
      </c>
      <c r="J5" s="3749"/>
      <c r="K5" s="559"/>
      <c r="L5" s="913"/>
      <c r="M5" s="914"/>
      <c r="N5" s="914"/>
      <c r="O5" s="914"/>
      <c r="P5" s="3735"/>
      <c r="Q5" s="3736"/>
      <c r="R5" s="3741"/>
      <c r="S5" s="3742"/>
      <c r="T5" s="3741"/>
      <c r="U5" s="3742"/>
      <c r="V5" s="3745"/>
      <c r="W5" s="3745"/>
      <c r="X5" s="1355"/>
      <c r="Y5" s="3741"/>
      <c r="Z5" s="3742"/>
      <c r="AA5" s="3727"/>
      <c r="AB5" s="3727"/>
      <c r="AC5" s="3727"/>
    </row>
    <row r="6" spans="1:29" ht="15.75" thickBot="1">
      <c r="A6" s="360"/>
      <c r="B6" s="361"/>
      <c r="C6" s="3746" t="s">
        <v>1674</v>
      </c>
      <c r="D6" s="3747"/>
      <c r="E6" s="3753" t="s">
        <v>1674</v>
      </c>
      <c r="F6" s="3754"/>
      <c r="G6" s="3746" t="s">
        <v>1674</v>
      </c>
      <c r="H6" s="3747"/>
      <c r="I6" s="3746" t="s">
        <v>1674</v>
      </c>
      <c r="J6" s="3747"/>
      <c r="K6" s="559" t="s">
        <v>1675</v>
      </c>
      <c r="L6" s="913"/>
      <c r="M6" s="914"/>
      <c r="N6" s="914"/>
      <c r="O6" s="914"/>
      <c r="P6" s="3737"/>
      <c r="Q6" s="3738"/>
      <c r="R6" s="3741"/>
      <c r="S6" s="3742"/>
      <c r="T6" s="3743"/>
      <c r="U6" s="3744"/>
      <c r="V6" s="3745"/>
      <c r="W6" s="3745"/>
      <c r="X6" s="1355"/>
      <c r="Y6" s="3743"/>
      <c r="Z6" s="3744"/>
      <c r="AA6" s="3728"/>
      <c r="AB6" s="3728"/>
      <c r="AC6" s="3728"/>
    </row>
    <row r="7" spans="1:29" s="108" customFormat="1" ht="15.75" thickBot="1">
      <c r="A7" s="362" t="s">
        <v>1676</v>
      </c>
      <c r="B7" s="363"/>
      <c r="C7" s="364">
        <f>'数据-取费表'!B2</f>
        <v>45405</v>
      </c>
      <c r="D7" s="365">
        <v>100</v>
      </c>
      <c r="E7" s="366"/>
      <c r="F7" s="367">
        <f>SUMIF(52:52,YEAR(E7)&amp;"-"&amp;MONTH(E7),53:53)</f>
        <v>0</v>
      </c>
      <c r="G7" s="366"/>
      <c r="H7" s="365">
        <f>SUMIF(52:52,YEAR(G7)&amp;"-"&amp;MONTH(G7),53:53)</f>
        <v>0</v>
      </c>
      <c r="I7" s="366"/>
      <c r="J7" s="365">
        <f>SUMIF(52:52,YEAR(I7)&amp;"-"&amp;MONTH(I7),53:53)</f>
        <v>0</v>
      </c>
      <c r="K7" s="560"/>
      <c r="L7" s="915"/>
      <c r="M7" s="916"/>
      <c r="N7" s="916"/>
      <c r="O7" s="916"/>
      <c r="P7" s="3750" t="s">
        <v>1677</v>
      </c>
      <c r="Q7" s="3752"/>
      <c r="R7" s="701" t="s">
        <v>14</v>
      </c>
      <c r="S7" s="702">
        <f t="shared" ref="S7:S15" si="0">F7</f>
        <v>0</v>
      </c>
      <c r="T7" s="701" t="s">
        <v>14</v>
      </c>
      <c r="U7" s="702">
        <f t="shared" ref="U7:U15" si="1">H7</f>
        <v>0</v>
      </c>
      <c r="V7" s="701" t="s">
        <v>14</v>
      </c>
      <c r="W7" s="702">
        <f t="shared" ref="W7:W15" si="2">J7</f>
        <v>0</v>
      </c>
      <c r="X7" s="703"/>
      <c r="Y7" s="3750" t="s">
        <v>1677</v>
      </c>
      <c r="Z7" s="3751"/>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0" t="s">
        <v>1680</v>
      </c>
      <c r="Q8" s="3751"/>
      <c r="R8" s="701" t="s">
        <v>14</v>
      </c>
      <c r="S8" s="702">
        <f t="shared" si="0"/>
        <v>100</v>
      </c>
      <c r="T8" s="701" t="s">
        <v>14</v>
      </c>
      <c r="U8" s="702">
        <f t="shared" si="1"/>
        <v>100</v>
      </c>
      <c r="V8" s="701" t="s">
        <v>14</v>
      </c>
      <c r="W8" s="702">
        <f t="shared" si="2"/>
        <v>100</v>
      </c>
      <c r="X8" s="703"/>
      <c r="Y8" s="3750" t="s">
        <v>1680</v>
      </c>
      <c r="Z8" s="3751"/>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4" t="s">
        <v>1683</v>
      </c>
      <c r="Q9" s="1343" t="str">
        <f t="shared" ref="Q9:Q15" si="6">B9</f>
        <v>用途</v>
      </c>
      <c r="R9" s="701" t="s">
        <v>14</v>
      </c>
      <c r="S9" s="702">
        <f t="shared" si="0"/>
        <v>100</v>
      </c>
      <c r="T9" s="701" t="s">
        <v>14</v>
      </c>
      <c r="U9" s="702">
        <f t="shared" si="1"/>
        <v>100</v>
      </c>
      <c r="V9" s="701" t="s">
        <v>14</v>
      </c>
      <c r="W9" s="702">
        <f t="shared" si="2"/>
        <v>100</v>
      </c>
      <c r="X9" s="703"/>
      <c r="Y9" s="3589"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4"/>
      <c r="Q10" s="1343" t="str">
        <f t="shared" si="6"/>
        <v>土地使用年限（年）</v>
      </c>
      <c r="R10" s="701" t="s">
        <v>14</v>
      </c>
      <c r="S10" s="702">
        <f t="shared" si="0"/>
        <v>100</v>
      </c>
      <c r="T10" s="701" t="s">
        <v>14</v>
      </c>
      <c r="U10" s="702">
        <f t="shared" si="1"/>
        <v>100</v>
      </c>
      <c r="V10" s="701" t="s">
        <v>14</v>
      </c>
      <c r="W10" s="702">
        <f t="shared" si="2"/>
        <v>100</v>
      </c>
      <c r="X10" s="703"/>
      <c r="Y10" s="3589"/>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4"/>
      <c r="Q11" s="1343" t="str">
        <f t="shared" si="6"/>
        <v>容积率</v>
      </c>
      <c r="R11" s="701" t="s">
        <v>14</v>
      </c>
      <c r="S11" s="702">
        <f t="shared" si="0"/>
        <v>100</v>
      </c>
      <c r="T11" s="701" t="s">
        <v>14</v>
      </c>
      <c r="U11" s="702">
        <f t="shared" si="1"/>
        <v>100</v>
      </c>
      <c r="V11" s="701" t="s">
        <v>14</v>
      </c>
      <c r="W11" s="702">
        <f t="shared" si="2"/>
        <v>100</v>
      </c>
      <c r="X11" s="703"/>
      <c r="Y11" s="358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4"/>
      <c r="Q12" s="1343">
        <f t="shared" si="6"/>
        <v>111</v>
      </c>
      <c r="R12" s="701" t="s">
        <v>14</v>
      </c>
      <c r="S12" s="702">
        <f t="shared" si="0"/>
        <v>100</v>
      </c>
      <c r="T12" s="701" t="s">
        <v>14</v>
      </c>
      <c r="U12" s="702">
        <f t="shared" si="1"/>
        <v>100</v>
      </c>
      <c r="V12" s="701" t="s">
        <v>14</v>
      </c>
      <c r="W12" s="702">
        <f t="shared" si="2"/>
        <v>100</v>
      </c>
      <c r="X12" s="703"/>
      <c r="Y12" s="358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4"/>
      <c r="Q13" s="1343">
        <f t="shared" si="6"/>
        <v>111</v>
      </c>
      <c r="R13" s="701" t="s">
        <v>14</v>
      </c>
      <c r="S13" s="702">
        <f t="shared" si="0"/>
        <v>100</v>
      </c>
      <c r="T13" s="701" t="s">
        <v>14</v>
      </c>
      <c r="U13" s="702">
        <f t="shared" si="1"/>
        <v>100</v>
      </c>
      <c r="V13" s="701" t="s">
        <v>14</v>
      </c>
      <c r="W13" s="702">
        <f t="shared" si="2"/>
        <v>100</v>
      </c>
      <c r="X13" s="703"/>
      <c r="Y13" s="358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4"/>
      <c r="Q14" s="1343">
        <f t="shared" si="6"/>
        <v>111</v>
      </c>
      <c r="R14" s="701" t="s">
        <v>14</v>
      </c>
      <c r="S14" s="702">
        <f t="shared" si="0"/>
        <v>100</v>
      </c>
      <c r="T14" s="701" t="s">
        <v>14</v>
      </c>
      <c r="U14" s="702">
        <f t="shared" si="1"/>
        <v>100</v>
      </c>
      <c r="V14" s="701" t="s">
        <v>14</v>
      </c>
      <c r="W14" s="702">
        <f t="shared" si="2"/>
        <v>100</v>
      </c>
      <c r="X14" s="703"/>
      <c r="Y14" s="3589"/>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6" t="s">
        <v>1688</v>
      </c>
      <c r="Q15" s="1352" t="str">
        <f t="shared" si="6"/>
        <v>产业集聚程度</v>
      </c>
      <c r="R15" s="705" t="s">
        <v>14</v>
      </c>
      <c r="S15" s="706">
        <f t="shared" si="0"/>
        <v>100</v>
      </c>
      <c r="T15" s="705" t="s">
        <v>14</v>
      </c>
      <c r="U15" s="706">
        <f t="shared" si="1"/>
        <v>100</v>
      </c>
      <c r="V15" s="705" t="s">
        <v>14</v>
      </c>
      <c r="W15" s="706">
        <f t="shared" si="2"/>
        <v>100</v>
      </c>
      <c r="X15" s="1355"/>
      <c r="Y15" s="3716"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7"/>
      <c r="Q16" s="1352"/>
      <c r="R16" s="705"/>
      <c r="S16" s="706"/>
      <c r="T16" s="705"/>
      <c r="U16" s="706"/>
      <c r="V16" s="705"/>
      <c r="W16" s="706"/>
      <c r="X16" s="1355"/>
      <c r="Y16" s="3717"/>
      <c r="Z16" s="1356"/>
      <c r="AA16" s="1353">
        <v>1</v>
      </c>
      <c r="AB16" s="1353">
        <v>1</v>
      </c>
      <c r="AC16" s="1353">
        <v>1</v>
      </c>
    </row>
    <row r="17" spans="1:29" ht="85.5">
      <c r="A17" s="379"/>
      <c r="B17" s="402" t="s">
        <v>1256</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7"/>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7"/>
      <c r="Q18" s="1352"/>
      <c r="R18" s="705"/>
      <c r="S18" s="706"/>
      <c r="T18" s="705"/>
      <c r="U18" s="706"/>
      <c r="V18" s="705"/>
      <c r="W18" s="706"/>
      <c r="X18" s="1355"/>
      <c r="Y18" s="3717"/>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7"/>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7"/>
      <c r="Q20" s="1352"/>
      <c r="R20" s="705"/>
      <c r="S20" s="706"/>
      <c r="T20" s="705"/>
      <c r="U20" s="706"/>
      <c r="V20" s="705"/>
      <c r="W20" s="706"/>
      <c r="X20" s="1355"/>
      <c r="Y20" s="3717"/>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7"/>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7"/>
      <c r="Q22" s="1352"/>
      <c r="R22" s="705"/>
      <c r="S22" s="706"/>
      <c r="T22" s="705"/>
      <c r="U22" s="706"/>
      <c r="V22" s="705"/>
      <c r="W22" s="706"/>
      <c r="X22" s="1355"/>
      <c r="Y22" s="3717"/>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7"/>
      <c r="Q23" s="1352" t="str">
        <f>B23</f>
        <v>环境质量</v>
      </c>
      <c r="R23" s="705" t="s">
        <v>14</v>
      </c>
      <c r="S23" s="706">
        <f>F23</f>
        <v>100</v>
      </c>
      <c r="T23" s="705" t="s">
        <v>14</v>
      </c>
      <c r="U23" s="706">
        <f>H23</f>
        <v>100</v>
      </c>
      <c r="V23" s="705" t="s">
        <v>14</v>
      </c>
      <c r="W23" s="706">
        <f>J23</f>
        <v>100</v>
      </c>
      <c r="X23" s="1355"/>
      <c r="Y23" s="371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7"/>
      <c r="Q24" s="1352"/>
      <c r="R24" s="705"/>
      <c r="S24" s="706"/>
      <c r="T24" s="705"/>
      <c r="U24" s="706"/>
      <c r="V24" s="705"/>
      <c r="W24" s="706"/>
      <c r="X24" s="1355"/>
      <c r="Y24" s="371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7"/>
      <c r="Q25" s="1352">
        <f>B25</f>
        <v>111</v>
      </c>
      <c r="R25" s="705" t="s">
        <v>14</v>
      </c>
      <c r="S25" s="706">
        <f>F25</f>
        <v>100</v>
      </c>
      <c r="T25" s="705" t="s">
        <v>14</v>
      </c>
      <c r="U25" s="706">
        <f>H25</f>
        <v>100</v>
      </c>
      <c r="V25" s="705" t="s">
        <v>14</v>
      </c>
      <c r="W25" s="706">
        <f>J25</f>
        <v>100</v>
      </c>
      <c r="X25" s="1355"/>
      <c r="Y25" s="371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7"/>
      <c r="Q26" s="1352">
        <f t="shared" ref="Q26:Q40" si="11">B26</f>
        <v>111</v>
      </c>
      <c r="R26" s="705" t="s">
        <v>14</v>
      </c>
      <c r="S26" s="706">
        <f>F26</f>
        <v>100</v>
      </c>
      <c r="T26" s="705" t="s">
        <v>14</v>
      </c>
      <c r="U26" s="706">
        <f>H26</f>
        <v>100</v>
      </c>
      <c r="V26" s="705" t="s">
        <v>14</v>
      </c>
      <c r="W26" s="706">
        <f>J26</f>
        <v>100</v>
      </c>
      <c r="X26" s="1355"/>
      <c r="Y26" s="371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7"/>
      <c r="Q27" s="1343">
        <f t="shared" si="11"/>
        <v>111</v>
      </c>
      <c r="R27" s="701" t="s">
        <v>14</v>
      </c>
      <c r="S27" s="702">
        <f>F27</f>
        <v>100</v>
      </c>
      <c r="T27" s="701" t="s">
        <v>14</v>
      </c>
      <c r="U27" s="702">
        <f>H27</f>
        <v>100</v>
      </c>
      <c r="V27" s="701" t="s">
        <v>14</v>
      </c>
      <c r="W27" s="702">
        <f>J27</f>
        <v>100</v>
      </c>
      <c r="X27" s="703"/>
      <c r="Y27" s="371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7"/>
      <c r="Q28" s="1352">
        <f t="shared" si="11"/>
        <v>111</v>
      </c>
      <c r="R28" s="705" t="s">
        <v>14</v>
      </c>
      <c r="S28" s="706">
        <f t="shared" ref="S28:S40" si="12">F28</f>
        <v>100</v>
      </c>
      <c r="T28" s="705" t="s">
        <v>14</v>
      </c>
      <c r="U28" s="706">
        <f t="shared" ref="U28:U40" si="13">H28</f>
        <v>100</v>
      </c>
      <c r="V28" s="705" t="s">
        <v>14</v>
      </c>
      <c r="W28" s="706">
        <f t="shared" ref="W28:W40" si="14">J28</f>
        <v>100</v>
      </c>
      <c r="X28" s="1355"/>
      <c r="Y28" s="3717"/>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3" t="s">
        <v>1693</v>
      </c>
      <c r="Q29" s="1352" t="str">
        <f t="shared" si="11"/>
        <v>建筑类型</v>
      </c>
      <c r="R29" s="705" t="s">
        <v>14</v>
      </c>
      <c r="S29" s="706">
        <f t="shared" si="12"/>
        <v>100</v>
      </c>
      <c r="T29" s="705" t="s">
        <v>14</v>
      </c>
      <c r="U29" s="706">
        <f t="shared" si="13"/>
        <v>100</v>
      </c>
      <c r="V29" s="705" t="s">
        <v>14</v>
      </c>
      <c r="W29" s="706">
        <f t="shared" si="14"/>
        <v>100</v>
      </c>
      <c r="X29" s="1355"/>
      <c r="Y29" s="3721"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1"/>
      <c r="Q30" s="707" t="str">
        <f t="shared" si="11"/>
        <v>项目建筑规模</v>
      </c>
      <c r="R30" s="708" t="s">
        <v>14</v>
      </c>
      <c r="S30" s="709" t="e">
        <f t="shared" si="12"/>
        <v>#N/A</v>
      </c>
      <c r="T30" s="708" t="s">
        <v>14</v>
      </c>
      <c r="U30" s="709" t="e">
        <f t="shared" si="13"/>
        <v>#N/A</v>
      </c>
      <c r="V30" s="708" t="s">
        <v>14</v>
      </c>
      <c r="W30" s="709" t="e">
        <f t="shared" si="14"/>
        <v>#N/A</v>
      </c>
      <c r="X30" s="710"/>
      <c r="Y30" s="3721"/>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1"/>
      <c r="Q31" s="1352" t="str">
        <f t="shared" si="11"/>
        <v>建筑结构</v>
      </c>
      <c r="R31" s="705" t="s">
        <v>14</v>
      </c>
      <c r="S31" s="706">
        <f t="shared" si="12"/>
        <v>100</v>
      </c>
      <c r="T31" s="705" t="s">
        <v>14</v>
      </c>
      <c r="U31" s="706">
        <f t="shared" si="13"/>
        <v>100</v>
      </c>
      <c r="V31" s="705" t="s">
        <v>14</v>
      </c>
      <c r="W31" s="706">
        <f t="shared" si="14"/>
        <v>100</v>
      </c>
      <c r="X31" s="1355"/>
      <c r="Y31" s="3721"/>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1"/>
      <c r="Q32" s="1352" t="str">
        <f t="shared" si="11"/>
        <v>公共部分装修</v>
      </c>
      <c r="R32" s="705" t="s">
        <v>14</v>
      </c>
      <c r="S32" s="706">
        <f t="shared" si="12"/>
        <v>100</v>
      </c>
      <c r="T32" s="705" t="s">
        <v>14</v>
      </c>
      <c r="U32" s="706">
        <f t="shared" si="13"/>
        <v>100</v>
      </c>
      <c r="V32" s="705" t="s">
        <v>14</v>
      </c>
      <c r="W32" s="706">
        <f t="shared" si="14"/>
        <v>100</v>
      </c>
      <c r="X32" s="1355"/>
      <c r="Y32" s="3721"/>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1"/>
      <c r="Q33" s="1352" t="str">
        <f t="shared" si="11"/>
        <v>成新度</v>
      </c>
      <c r="R33" s="705" t="s">
        <v>14</v>
      </c>
      <c r="S33" s="706" t="e">
        <f t="shared" si="12"/>
        <v>#N/A</v>
      </c>
      <c r="T33" s="705" t="s">
        <v>14</v>
      </c>
      <c r="U33" s="706" t="e">
        <f t="shared" si="13"/>
        <v>#N/A</v>
      </c>
      <c r="V33" s="705" t="s">
        <v>14</v>
      </c>
      <c r="W33" s="706" t="e">
        <f t="shared" si="14"/>
        <v>#N/A</v>
      </c>
      <c r="X33" s="1355"/>
      <c r="Y33" s="3721"/>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1"/>
      <c r="Q34" s="1343" t="str">
        <f t="shared" si="11"/>
        <v>物业管理</v>
      </c>
      <c r="R34" s="701" t="s">
        <v>14</v>
      </c>
      <c r="S34" s="702">
        <f t="shared" si="12"/>
        <v>100</v>
      </c>
      <c r="T34" s="701" t="s">
        <v>14</v>
      </c>
      <c r="U34" s="702">
        <f t="shared" si="13"/>
        <v>100</v>
      </c>
      <c r="V34" s="701" t="s">
        <v>14</v>
      </c>
      <c r="W34" s="702">
        <f t="shared" si="14"/>
        <v>100</v>
      </c>
      <c r="X34" s="703"/>
      <c r="Y34" s="3721"/>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1" t="s">
        <v>1693</v>
      </c>
      <c r="Q35" s="1352" t="str">
        <f t="shared" si="11"/>
        <v>市政基础设施</v>
      </c>
      <c r="R35" s="705" t="s">
        <v>14</v>
      </c>
      <c r="S35" s="706">
        <f t="shared" si="12"/>
        <v>100</v>
      </c>
      <c r="T35" s="705" t="s">
        <v>14</v>
      </c>
      <c r="U35" s="706">
        <f t="shared" si="13"/>
        <v>100</v>
      </c>
      <c r="V35" s="705" t="s">
        <v>14</v>
      </c>
      <c r="W35" s="706">
        <f t="shared" si="14"/>
        <v>100</v>
      </c>
      <c r="X35" s="1355"/>
      <c r="Y35" s="3721"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1"/>
      <c r="Q36" s="1352" t="str">
        <f t="shared" si="11"/>
        <v>内部装修</v>
      </c>
      <c r="R36" s="705" t="s">
        <v>14</v>
      </c>
      <c r="S36" s="706">
        <f t="shared" si="12"/>
        <v>100</v>
      </c>
      <c r="T36" s="705" t="s">
        <v>14</v>
      </c>
      <c r="U36" s="706">
        <f t="shared" si="13"/>
        <v>100</v>
      </c>
      <c r="V36" s="705" t="s">
        <v>14</v>
      </c>
      <c r="W36" s="706">
        <f t="shared" si="14"/>
        <v>100</v>
      </c>
      <c r="X36" s="1355"/>
      <c r="Y36" s="3721"/>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1"/>
      <c r="Q37" s="1352" t="str">
        <f t="shared" si="11"/>
        <v>内部装修状况</v>
      </c>
      <c r="R37" s="705" t="s">
        <v>14</v>
      </c>
      <c r="S37" s="706">
        <f t="shared" si="12"/>
        <v>100</v>
      </c>
      <c r="T37" s="705" t="s">
        <v>14</v>
      </c>
      <c r="U37" s="706">
        <f t="shared" si="13"/>
        <v>100</v>
      </c>
      <c r="V37" s="705" t="s">
        <v>14</v>
      </c>
      <c r="W37" s="706">
        <f t="shared" si="14"/>
        <v>100</v>
      </c>
      <c r="X37" s="1355"/>
      <c r="Y37" s="372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1"/>
      <c r="Q38" s="707">
        <f t="shared" si="11"/>
        <v>111</v>
      </c>
      <c r="R38" s="708" t="s">
        <v>14</v>
      </c>
      <c r="S38" s="709">
        <f t="shared" si="12"/>
        <v>100</v>
      </c>
      <c r="T38" s="708" t="s">
        <v>14</v>
      </c>
      <c r="U38" s="709">
        <f t="shared" si="13"/>
        <v>100</v>
      </c>
      <c r="V38" s="708" t="s">
        <v>14</v>
      </c>
      <c r="W38" s="709">
        <f t="shared" si="14"/>
        <v>100</v>
      </c>
      <c r="X38" s="710"/>
      <c r="Y38" s="372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1"/>
      <c r="Q39" s="1352">
        <f t="shared" si="11"/>
        <v>111</v>
      </c>
      <c r="R39" s="705" t="s">
        <v>14</v>
      </c>
      <c r="S39" s="706">
        <f t="shared" si="12"/>
        <v>100</v>
      </c>
      <c r="T39" s="705" t="s">
        <v>14</v>
      </c>
      <c r="U39" s="706">
        <f t="shared" si="13"/>
        <v>100</v>
      </c>
      <c r="V39" s="705" t="s">
        <v>14</v>
      </c>
      <c r="W39" s="706">
        <f t="shared" si="14"/>
        <v>100</v>
      </c>
      <c r="X39" s="1355"/>
      <c r="Y39" s="372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2"/>
      <c r="Q40" s="1352">
        <f t="shared" si="11"/>
        <v>111</v>
      </c>
      <c r="R40" s="705" t="s">
        <v>14</v>
      </c>
      <c r="S40" s="706">
        <f t="shared" si="12"/>
        <v>100</v>
      </c>
      <c r="T40" s="705" t="s">
        <v>14</v>
      </c>
      <c r="U40" s="706">
        <f t="shared" si="13"/>
        <v>100</v>
      </c>
      <c r="V40" s="705" t="s">
        <v>14</v>
      </c>
      <c r="W40" s="706">
        <f t="shared" si="14"/>
        <v>100</v>
      </c>
      <c r="X40" s="1355"/>
      <c r="Y40" s="3722"/>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714" t="str">
        <f>A41</f>
        <v>成交单价（元/平方米）</v>
      </c>
      <c r="Q41" s="3714"/>
      <c r="R41" s="3715">
        <f>E41</f>
        <v>0</v>
      </c>
      <c r="S41" s="3715"/>
      <c r="T41" s="3715">
        <f>G41</f>
        <v>0</v>
      </c>
      <c r="U41" s="3715"/>
      <c r="V41" s="3715">
        <f>I41</f>
        <v>0</v>
      </c>
      <c r="W41" s="3715"/>
      <c r="X41" s="690"/>
      <c r="Y41" s="712"/>
      <c r="Z41" s="690"/>
      <c r="AA41" s="690"/>
      <c r="AB41" s="690"/>
      <c r="AC41" s="690"/>
    </row>
    <row r="42" spans="1:29" ht="15.75" thickBot="1">
      <c r="A42" s="437" t="s">
        <v>1790</v>
      </c>
      <c r="B42" s="438"/>
      <c r="C42" s="1160" t="e">
        <f>R43</f>
        <v>#DIV/0!</v>
      </c>
      <c r="D42" s="2317" t="s">
        <v>2134</v>
      </c>
      <c r="E42" s="1161" t="e">
        <f>R42</f>
        <v>#DIV/0!</v>
      </c>
      <c r="F42" s="2318"/>
      <c r="G42" s="1160" t="e">
        <f>T42</f>
        <v>#DIV/0!</v>
      </c>
      <c r="H42" s="2318"/>
      <c r="I42" s="1161" t="e">
        <f>V42</f>
        <v>#DIV/0!</v>
      </c>
      <c r="J42" s="2318"/>
      <c r="K42" s="2320">
        <f>F42+H42+J42</f>
        <v>0</v>
      </c>
      <c r="L42" s="926"/>
      <c r="M42" s="927"/>
      <c r="N42" s="914"/>
      <c r="O42" s="927"/>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9"/>
      <c r="O54" s="2770"/>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3" priority="20" stopIfTrue="1" operator="containsText" text="超过">
      <formula>NOT(ISERROR(SEARCH("超过",F46)))</formula>
    </cfRule>
  </conditionalFormatting>
  <conditionalFormatting sqref="H48">
    <cfRule type="containsText" dxfId="132" priority="19" stopIfTrue="1" operator="containsText" text="超过">
      <formula>NOT(ISERROR(SEARCH("超过",H48)))</formula>
    </cfRule>
  </conditionalFormatting>
  <conditionalFormatting sqref="F48">
    <cfRule type="containsText" dxfId="131" priority="18" stopIfTrue="1" operator="containsText" text="超过">
      <formula>NOT(ISERROR(SEARCH("超过",F48)))</formula>
    </cfRule>
  </conditionalFormatting>
  <conditionalFormatting sqref="F47 H47">
    <cfRule type="containsText" dxfId="130" priority="17" stopIfTrue="1" operator="containsText" text="超过">
      <formula>NOT(ISERROR(SEARCH("超过",F47)))</formula>
    </cfRule>
  </conditionalFormatting>
  <conditionalFormatting sqref="E46">
    <cfRule type="expression" dxfId="129" priority="16" stopIfTrue="1">
      <formula>$F$46="超过30%"</formula>
    </cfRule>
  </conditionalFormatting>
  <conditionalFormatting sqref="E47">
    <cfRule type="expression" dxfId="128" priority="15" stopIfTrue="1">
      <formula>$F$47="超过20%"</formula>
    </cfRule>
  </conditionalFormatting>
  <conditionalFormatting sqref="E48">
    <cfRule type="expression" dxfId="127" priority="14" stopIfTrue="1">
      <formula>$F$48="超过30%"</formula>
    </cfRule>
  </conditionalFormatting>
  <conditionalFormatting sqref="G48">
    <cfRule type="expression" dxfId="126" priority="13" stopIfTrue="1">
      <formula>$H$48="超过30%"</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J46">
    <cfRule type="containsText" dxfId="123" priority="10" stopIfTrue="1" operator="containsText" text="超过">
      <formula>NOT(ISERROR(SEARCH("超过",J46)))</formula>
    </cfRule>
  </conditionalFormatting>
  <conditionalFormatting sqref="J48">
    <cfRule type="containsText" dxfId="122" priority="9" stopIfTrue="1" operator="containsText" text="超过">
      <formula>NOT(ISERROR(SEARCH("超过",J48)))</formula>
    </cfRule>
  </conditionalFormatting>
  <conditionalFormatting sqref="J47">
    <cfRule type="containsText" dxfId="121" priority="8" stopIfTrue="1" operator="containsText" text="超过">
      <formula>NOT(ISERROR(SEARCH("超过",J47)))</formula>
    </cfRule>
  </conditionalFormatting>
  <conditionalFormatting sqref="I46">
    <cfRule type="expression" dxfId="120" priority="7" stopIfTrue="1">
      <formula>$J$46="超过30%"</formula>
    </cfRule>
  </conditionalFormatting>
  <conditionalFormatting sqref="I47">
    <cfRule type="expression" dxfId="119" priority="6" stopIfTrue="1">
      <formula>$J$47="超过20%"</formula>
    </cfRule>
  </conditionalFormatting>
  <conditionalFormatting sqref="I48">
    <cfRule type="expression" dxfId="118" priority="5" stopIfTrue="1">
      <formula>$J$48="超过30%"</formula>
    </cfRule>
  </conditionalFormatting>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F7:F40 H7:H40 J7:J40">
    <cfRule type="cellIs" dxfId="11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3333</v>
      </c>
      <c r="C1" s="1224" t="s">
        <v>1659</v>
      </c>
      <c r="D1" s="1225"/>
      <c r="E1" s="3432"/>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1766</v>
      </c>
      <c r="B4" s="356"/>
      <c r="C4" s="3729" t="s">
        <v>1767</v>
      </c>
      <c r="D4" s="3730"/>
      <c r="E4" s="3731" t="s">
        <v>1768</v>
      </c>
      <c r="F4" s="3732"/>
      <c r="G4" s="3729" t="s">
        <v>1769</v>
      </c>
      <c r="H4" s="3730"/>
      <c r="I4" s="3729" t="s">
        <v>1770</v>
      </c>
      <c r="J4" s="3730"/>
      <c r="K4" s="559" t="s">
        <v>1771</v>
      </c>
      <c r="L4" s="2714"/>
      <c r="M4" s="2715"/>
      <c r="N4" s="2715"/>
      <c r="O4" s="2715"/>
      <c r="P4" s="3733" t="s">
        <v>1772</v>
      </c>
      <c r="Q4" s="3734"/>
      <c r="R4" s="3739" t="s">
        <v>1768</v>
      </c>
      <c r="S4" s="3740"/>
      <c r="T4" s="3739" t="s">
        <v>1769</v>
      </c>
      <c r="U4" s="3740"/>
      <c r="V4" s="3745" t="s">
        <v>1770</v>
      </c>
      <c r="W4" s="3745"/>
      <c r="X4" s="1355"/>
      <c r="Y4" s="3739" t="s">
        <v>1772</v>
      </c>
      <c r="Z4" s="3740"/>
      <c r="AA4" s="3726" t="s">
        <v>1768</v>
      </c>
      <c r="AB4" s="3727" t="s">
        <v>1769</v>
      </c>
      <c r="AC4" s="3726" t="s">
        <v>1770</v>
      </c>
    </row>
    <row r="5" spans="1:29" ht="15">
      <c r="A5" s="358"/>
      <c r="B5" s="359"/>
      <c r="C5" s="3748" t="s">
        <v>1670</v>
      </c>
      <c r="D5" s="3749"/>
      <c r="E5" s="3755" t="s">
        <v>1671</v>
      </c>
      <c r="F5" s="3756"/>
      <c r="G5" s="3748" t="s">
        <v>1672</v>
      </c>
      <c r="H5" s="3749"/>
      <c r="I5" s="3748" t="s">
        <v>1673</v>
      </c>
      <c r="J5" s="3749"/>
      <c r="K5" s="559"/>
      <c r="L5" s="2714"/>
      <c r="M5" s="2715"/>
      <c r="N5" s="2715"/>
      <c r="O5" s="2715"/>
      <c r="P5" s="3735"/>
      <c r="Q5" s="3736"/>
      <c r="R5" s="3741"/>
      <c r="S5" s="3742"/>
      <c r="T5" s="3741"/>
      <c r="U5" s="3742"/>
      <c r="V5" s="3745"/>
      <c r="W5" s="3745"/>
      <c r="X5" s="1355"/>
      <c r="Y5" s="3741"/>
      <c r="Z5" s="3742"/>
      <c r="AA5" s="3727"/>
      <c r="AB5" s="3727"/>
      <c r="AC5" s="3727"/>
    </row>
    <row r="6" spans="1:29" ht="15.75" thickBot="1">
      <c r="A6" s="360"/>
      <c r="B6" s="361"/>
      <c r="C6" s="3746" t="s">
        <v>1674</v>
      </c>
      <c r="D6" s="3747"/>
      <c r="E6" s="3753" t="s">
        <v>1674</v>
      </c>
      <c r="F6" s="3754"/>
      <c r="G6" s="3746" t="s">
        <v>1674</v>
      </c>
      <c r="H6" s="3747"/>
      <c r="I6" s="3746" t="s">
        <v>1674</v>
      </c>
      <c r="J6" s="3747"/>
      <c r="K6" s="559" t="s">
        <v>1675</v>
      </c>
      <c r="L6" s="2714"/>
      <c r="M6" s="2715"/>
      <c r="N6" s="2715"/>
      <c r="O6" s="2715"/>
      <c r="P6" s="3737"/>
      <c r="Q6" s="3738"/>
      <c r="R6" s="3741"/>
      <c r="S6" s="3742"/>
      <c r="T6" s="3743"/>
      <c r="U6" s="3744"/>
      <c r="V6" s="3745"/>
      <c r="W6" s="3745"/>
      <c r="X6" s="1355"/>
      <c r="Y6" s="3743"/>
      <c r="Z6" s="3744"/>
      <c r="AA6" s="3728"/>
      <c r="AB6" s="3728"/>
      <c r="AC6" s="3728"/>
    </row>
    <row r="7" spans="1:29" s="108" customFormat="1" ht="15.75" thickBot="1">
      <c r="A7" s="362" t="s">
        <v>1676</v>
      </c>
      <c r="B7" s="363"/>
      <c r="C7" s="364">
        <f>'数据-取费表'!B2</f>
        <v>45405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50" t="s">
        <v>1677</v>
      </c>
      <c r="Q7" s="3752"/>
      <c r="R7" s="701" t="s">
        <v>14</v>
      </c>
      <c r="S7" s="702">
        <f t="shared" ref="S7:S14" si="0">F7</f>
        <v>0</v>
      </c>
      <c r="T7" s="701" t="s">
        <v>14</v>
      </c>
      <c r="U7" s="702">
        <f t="shared" ref="U7:U14" si="1">H7</f>
        <v>0</v>
      </c>
      <c r="V7" s="701" t="s">
        <v>14</v>
      </c>
      <c r="W7" s="702">
        <f t="shared" ref="W7:W14" si="2">J7</f>
        <v>0</v>
      </c>
      <c r="X7" s="703"/>
      <c r="Y7" s="3750" t="s">
        <v>1677</v>
      </c>
      <c r="Z7" s="3751"/>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50" t="s">
        <v>1680</v>
      </c>
      <c r="Q8" s="3751"/>
      <c r="R8" s="701" t="s">
        <v>14</v>
      </c>
      <c r="S8" s="702">
        <f t="shared" si="0"/>
        <v>100</v>
      </c>
      <c r="T8" s="701" t="s">
        <v>14</v>
      </c>
      <c r="U8" s="702">
        <f t="shared" si="1"/>
        <v>100</v>
      </c>
      <c r="V8" s="701" t="s">
        <v>14</v>
      </c>
      <c r="W8" s="702">
        <f t="shared" si="2"/>
        <v>100</v>
      </c>
      <c r="X8" s="703"/>
      <c r="Y8" s="3750" t="s">
        <v>1680</v>
      </c>
      <c r="Z8" s="3751"/>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4" t="s">
        <v>1683</v>
      </c>
      <c r="Q9" s="1343" t="str">
        <f t="shared" ref="Q9:Q14" si="6">B9</f>
        <v>用途</v>
      </c>
      <c r="R9" s="701" t="s">
        <v>14</v>
      </c>
      <c r="S9" s="702">
        <f t="shared" si="0"/>
        <v>100</v>
      </c>
      <c r="T9" s="701" t="s">
        <v>14</v>
      </c>
      <c r="U9" s="702">
        <f t="shared" si="1"/>
        <v>100</v>
      </c>
      <c r="V9" s="701" t="s">
        <v>14</v>
      </c>
      <c r="W9" s="702">
        <f t="shared" si="2"/>
        <v>100</v>
      </c>
      <c r="X9" s="703"/>
      <c r="Y9" s="3589" t="s">
        <v>1684</v>
      </c>
      <c r="Z9" s="52" t="str">
        <f t="shared" ref="Z9:Z14" si="7">Q9</f>
        <v>用途</v>
      </c>
      <c r="AA9" s="704">
        <f t="shared" si="3"/>
        <v>1</v>
      </c>
      <c r="AB9" s="704">
        <f t="shared" si="4"/>
        <v>1</v>
      </c>
      <c r="AC9" s="704">
        <f t="shared" si="5"/>
        <v>1</v>
      </c>
    </row>
    <row r="10" spans="1:29" s="378" customFormat="1" ht="27">
      <c r="A10" s="589"/>
      <c r="B10" s="590" t="s">
        <v>1685</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4"/>
      <c r="Q10" s="1343" t="str">
        <f t="shared" si="6"/>
        <v>土地使用年限（年）</v>
      </c>
      <c r="R10" s="701" t="s">
        <v>14</v>
      </c>
      <c r="S10" s="702">
        <f t="shared" si="0"/>
        <v>100</v>
      </c>
      <c r="T10" s="701" t="s">
        <v>14</v>
      </c>
      <c r="U10" s="702">
        <f t="shared" si="1"/>
        <v>100</v>
      </c>
      <c r="V10" s="701" t="s">
        <v>14</v>
      </c>
      <c r="W10" s="702">
        <f t="shared" si="2"/>
        <v>100</v>
      </c>
      <c r="X10" s="703"/>
      <c r="Y10" s="358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4"/>
      <c r="Q11" s="1343">
        <f t="shared" si="6"/>
        <v>111</v>
      </c>
      <c r="R11" s="701" t="s">
        <v>14</v>
      </c>
      <c r="S11" s="702">
        <f t="shared" si="0"/>
        <v>100</v>
      </c>
      <c r="T11" s="701" t="s">
        <v>14</v>
      </c>
      <c r="U11" s="702">
        <f t="shared" si="1"/>
        <v>100</v>
      </c>
      <c r="V11" s="701" t="s">
        <v>14</v>
      </c>
      <c r="W11" s="702">
        <f t="shared" si="2"/>
        <v>100</v>
      </c>
      <c r="X11" s="703"/>
      <c r="Y11" s="358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4"/>
      <c r="Q12" s="1343">
        <f t="shared" si="6"/>
        <v>111</v>
      </c>
      <c r="R12" s="701" t="s">
        <v>14</v>
      </c>
      <c r="S12" s="702">
        <f t="shared" si="0"/>
        <v>100</v>
      </c>
      <c r="T12" s="701" t="s">
        <v>14</v>
      </c>
      <c r="U12" s="702">
        <f t="shared" si="1"/>
        <v>100</v>
      </c>
      <c r="V12" s="701" t="s">
        <v>14</v>
      </c>
      <c r="W12" s="702">
        <f t="shared" si="2"/>
        <v>100</v>
      </c>
      <c r="X12" s="703"/>
      <c r="Y12" s="358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4"/>
      <c r="Q13" s="1343">
        <f t="shared" si="6"/>
        <v>111</v>
      </c>
      <c r="R13" s="701" t="s">
        <v>14</v>
      </c>
      <c r="S13" s="702">
        <f t="shared" si="0"/>
        <v>100</v>
      </c>
      <c r="T13" s="701" t="s">
        <v>14</v>
      </c>
      <c r="U13" s="702">
        <f t="shared" si="1"/>
        <v>100</v>
      </c>
      <c r="V13" s="701" t="s">
        <v>14</v>
      </c>
      <c r="W13" s="702">
        <f t="shared" si="2"/>
        <v>100</v>
      </c>
      <c r="X13" s="703"/>
      <c r="Y13" s="3589"/>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6" t="s">
        <v>1688</v>
      </c>
      <c r="Q14" s="1352" t="str">
        <f t="shared" si="6"/>
        <v>交通便捷度</v>
      </c>
      <c r="R14" s="705" t="s">
        <v>14</v>
      </c>
      <c r="S14" s="706">
        <f t="shared" si="0"/>
        <v>100</v>
      </c>
      <c r="T14" s="705" t="s">
        <v>14</v>
      </c>
      <c r="U14" s="706">
        <f t="shared" si="1"/>
        <v>100</v>
      </c>
      <c r="V14" s="705" t="s">
        <v>14</v>
      </c>
      <c r="W14" s="706">
        <f t="shared" si="2"/>
        <v>100</v>
      </c>
      <c r="X14" s="1355"/>
      <c r="Y14" s="3716"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7"/>
      <c r="Q15" s="1352"/>
      <c r="R15" s="705"/>
      <c r="S15" s="706"/>
      <c r="T15" s="705"/>
      <c r="U15" s="706"/>
      <c r="V15" s="705"/>
      <c r="W15" s="706"/>
      <c r="X15" s="1355"/>
      <c r="Y15" s="3717"/>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7"/>
      <c r="Q16" s="1352" t="str">
        <f>B16</f>
        <v>公共配套设施</v>
      </c>
      <c r="R16" s="705" t="s">
        <v>14</v>
      </c>
      <c r="S16" s="706">
        <f>F16</f>
        <v>100</v>
      </c>
      <c r="T16" s="705" t="s">
        <v>14</v>
      </c>
      <c r="U16" s="706">
        <f>H16</f>
        <v>100</v>
      </c>
      <c r="V16" s="705" t="s">
        <v>14</v>
      </c>
      <c r="W16" s="706">
        <f>J16</f>
        <v>100</v>
      </c>
      <c r="X16" s="1355"/>
      <c r="Y16" s="371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7"/>
      <c r="Q17" s="1352"/>
      <c r="R17" s="705"/>
      <c r="S17" s="706"/>
      <c r="T17" s="705"/>
      <c r="U17" s="706"/>
      <c r="V17" s="705"/>
      <c r="W17" s="706"/>
      <c r="X17" s="1355"/>
      <c r="Y17" s="3717"/>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7"/>
      <c r="Q18" s="1352" t="str">
        <f>B18</f>
        <v>基础设施水平</v>
      </c>
      <c r="R18" s="705" t="s">
        <v>14</v>
      </c>
      <c r="S18" s="706">
        <f>F18</f>
        <v>100</v>
      </c>
      <c r="T18" s="705" t="s">
        <v>14</v>
      </c>
      <c r="U18" s="706">
        <f>H18</f>
        <v>100</v>
      </c>
      <c r="V18" s="705" t="s">
        <v>14</v>
      </c>
      <c r="W18" s="706">
        <f>J18</f>
        <v>100</v>
      </c>
      <c r="X18" s="1355"/>
      <c r="Y18" s="371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7"/>
      <c r="Q19" s="1352"/>
      <c r="R19" s="705"/>
      <c r="S19" s="706"/>
      <c r="T19" s="705"/>
      <c r="U19" s="706"/>
      <c r="V19" s="705"/>
      <c r="W19" s="706"/>
      <c r="X19" s="1355"/>
      <c r="Y19" s="3717"/>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7"/>
      <c r="Q20" s="1352" t="str">
        <f>B20</f>
        <v>自然及人文环境</v>
      </c>
      <c r="R20" s="705" t="s">
        <v>14</v>
      </c>
      <c r="S20" s="706">
        <f>F20</f>
        <v>100</v>
      </c>
      <c r="T20" s="705" t="s">
        <v>14</v>
      </c>
      <c r="U20" s="706">
        <f>H20</f>
        <v>100</v>
      </c>
      <c r="V20" s="705" t="s">
        <v>14</v>
      </c>
      <c r="W20" s="706">
        <f>J20</f>
        <v>100</v>
      </c>
      <c r="X20" s="1355"/>
      <c r="Y20" s="371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7"/>
      <c r="Q21" s="1352"/>
      <c r="R21" s="705"/>
      <c r="S21" s="706"/>
      <c r="T21" s="705"/>
      <c r="U21" s="706"/>
      <c r="V21" s="705"/>
      <c r="W21" s="706"/>
      <c r="X21" s="1355"/>
      <c r="Y21" s="3717"/>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7"/>
      <c r="Q22" s="1352" t="str">
        <f>B22</f>
        <v>楼层</v>
      </c>
      <c r="R22" s="705" t="s">
        <v>14</v>
      </c>
      <c r="S22" s="706">
        <f>F22</f>
        <v>100</v>
      </c>
      <c r="T22" s="705" t="s">
        <v>14</v>
      </c>
      <c r="U22" s="706">
        <f>H22</f>
        <v>100</v>
      </c>
      <c r="V22" s="705" t="s">
        <v>14</v>
      </c>
      <c r="W22" s="706">
        <f>J22</f>
        <v>100</v>
      </c>
      <c r="X22" s="1355"/>
      <c r="Y22" s="371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7"/>
      <c r="Q23" s="1352">
        <f>B23</f>
        <v>111</v>
      </c>
      <c r="R23" s="705" t="s">
        <v>14</v>
      </c>
      <c r="S23" s="706">
        <f>F23</f>
        <v>100</v>
      </c>
      <c r="T23" s="705" t="s">
        <v>14</v>
      </c>
      <c r="U23" s="706">
        <f>H23</f>
        <v>100</v>
      </c>
      <c r="V23" s="705" t="s">
        <v>14</v>
      </c>
      <c r="W23" s="706">
        <f>J23</f>
        <v>100</v>
      </c>
      <c r="X23" s="1355"/>
      <c r="Y23" s="371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7"/>
      <c r="Q24" s="1352">
        <f t="shared" ref="Q24:Q36" si="11">B24</f>
        <v>111</v>
      </c>
      <c r="R24" s="705" t="s">
        <v>14</v>
      </c>
      <c r="S24" s="706">
        <f>F24</f>
        <v>100</v>
      </c>
      <c r="T24" s="705" t="s">
        <v>14</v>
      </c>
      <c r="U24" s="706">
        <f>H24</f>
        <v>100</v>
      </c>
      <c r="V24" s="705" t="s">
        <v>14</v>
      </c>
      <c r="W24" s="706">
        <f>J24</f>
        <v>100</v>
      </c>
      <c r="X24" s="1355"/>
      <c r="Y24" s="371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7"/>
      <c r="Q25" s="1343">
        <f t="shared" si="11"/>
        <v>111</v>
      </c>
      <c r="R25" s="701" t="s">
        <v>14</v>
      </c>
      <c r="S25" s="702">
        <f>F25</f>
        <v>100</v>
      </c>
      <c r="T25" s="701" t="s">
        <v>14</v>
      </c>
      <c r="U25" s="702">
        <f>H25</f>
        <v>100</v>
      </c>
      <c r="V25" s="701" t="s">
        <v>14</v>
      </c>
      <c r="W25" s="702">
        <f>J25</f>
        <v>100</v>
      </c>
      <c r="X25" s="703"/>
      <c r="Y25" s="3717"/>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73"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1"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1"/>
      <c r="Q27" s="707" t="str">
        <f t="shared" si="11"/>
        <v>项目停车位配比</v>
      </c>
      <c r="R27" s="708" t="s">
        <v>14</v>
      </c>
      <c r="S27" s="709">
        <f t="shared" si="12"/>
        <v>100</v>
      </c>
      <c r="T27" s="708" t="s">
        <v>14</v>
      </c>
      <c r="U27" s="709">
        <f t="shared" si="13"/>
        <v>100</v>
      </c>
      <c r="V27" s="708" t="s">
        <v>14</v>
      </c>
      <c r="W27" s="709">
        <f t="shared" si="14"/>
        <v>100</v>
      </c>
      <c r="X27" s="710"/>
      <c r="Y27" s="3721"/>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1"/>
      <c r="Q28" s="1352" t="str">
        <f t="shared" si="11"/>
        <v>公共部分装修</v>
      </c>
      <c r="R28" s="705" t="s">
        <v>14</v>
      </c>
      <c r="S28" s="706">
        <f t="shared" si="12"/>
        <v>100</v>
      </c>
      <c r="T28" s="705" t="s">
        <v>14</v>
      </c>
      <c r="U28" s="706">
        <f t="shared" si="13"/>
        <v>100</v>
      </c>
      <c r="V28" s="705" t="s">
        <v>14</v>
      </c>
      <c r="W28" s="706">
        <f t="shared" si="14"/>
        <v>100</v>
      </c>
      <c r="X28" s="1355"/>
      <c r="Y28" s="3721"/>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1"/>
      <c r="Q29" s="1352" t="str">
        <f t="shared" si="11"/>
        <v>成新率</v>
      </c>
      <c r="R29" s="705" t="s">
        <v>14</v>
      </c>
      <c r="S29" s="706" t="e">
        <f t="shared" si="12"/>
        <v>#N/A</v>
      </c>
      <c r="T29" s="705" t="s">
        <v>14</v>
      </c>
      <c r="U29" s="706" t="e">
        <f t="shared" si="13"/>
        <v>#N/A</v>
      </c>
      <c r="V29" s="705" t="s">
        <v>14</v>
      </c>
      <c r="W29" s="706" t="e">
        <f t="shared" si="14"/>
        <v>#N/A</v>
      </c>
      <c r="X29" s="1355"/>
      <c r="Y29" s="3721"/>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1"/>
      <c r="Q30" s="1352" t="str">
        <f t="shared" si="11"/>
        <v>物业等级</v>
      </c>
      <c r="R30" s="705" t="s">
        <v>14</v>
      </c>
      <c r="S30" s="706">
        <f t="shared" si="12"/>
        <v>100</v>
      </c>
      <c r="T30" s="705" t="s">
        <v>14</v>
      </c>
      <c r="U30" s="706">
        <f t="shared" si="13"/>
        <v>100</v>
      </c>
      <c r="V30" s="705" t="s">
        <v>14</v>
      </c>
      <c r="W30" s="706">
        <f t="shared" si="14"/>
        <v>100</v>
      </c>
      <c r="X30" s="1355"/>
      <c r="Y30" s="3721"/>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1"/>
      <c r="Q31" s="1343" t="str">
        <f t="shared" si="11"/>
        <v>停车位面积</v>
      </c>
      <c r="R31" s="701" t="s">
        <v>14</v>
      </c>
      <c r="S31" s="702" t="e">
        <f t="shared" si="12"/>
        <v>#N/A</v>
      </c>
      <c r="T31" s="701" t="s">
        <v>14</v>
      </c>
      <c r="U31" s="702" t="e">
        <f t="shared" si="13"/>
        <v>#N/A</v>
      </c>
      <c r="V31" s="701" t="s">
        <v>14</v>
      </c>
      <c r="W31" s="702" t="e">
        <f t="shared" si="14"/>
        <v>#N/A</v>
      </c>
      <c r="X31" s="703"/>
      <c r="Y31" s="3721"/>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1" t="s">
        <v>1693</v>
      </c>
      <c r="Q32" s="1352" t="str">
        <f t="shared" si="11"/>
        <v>车位类型</v>
      </c>
      <c r="R32" s="705" t="s">
        <v>14</v>
      </c>
      <c r="S32" s="706">
        <f t="shared" si="12"/>
        <v>100</v>
      </c>
      <c r="T32" s="705" t="s">
        <v>14</v>
      </c>
      <c r="U32" s="706">
        <f t="shared" si="13"/>
        <v>100</v>
      </c>
      <c r="V32" s="705" t="s">
        <v>14</v>
      </c>
      <c r="W32" s="706">
        <f t="shared" si="14"/>
        <v>100</v>
      </c>
      <c r="X32" s="1355"/>
      <c r="Y32" s="3721"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1"/>
      <c r="Q33" s="1352" t="str">
        <f t="shared" si="11"/>
        <v>是否直接入户</v>
      </c>
      <c r="R33" s="705" t="s">
        <v>14</v>
      </c>
      <c r="S33" s="706">
        <f t="shared" si="12"/>
        <v>100</v>
      </c>
      <c r="T33" s="705" t="s">
        <v>14</v>
      </c>
      <c r="U33" s="706">
        <f t="shared" si="13"/>
        <v>100</v>
      </c>
      <c r="V33" s="705" t="s">
        <v>14</v>
      </c>
      <c r="W33" s="706">
        <f t="shared" si="14"/>
        <v>100</v>
      </c>
      <c r="X33" s="1355"/>
      <c r="Y33" s="372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1"/>
      <c r="Q34" s="1352">
        <f t="shared" si="11"/>
        <v>111</v>
      </c>
      <c r="R34" s="705" t="s">
        <v>14</v>
      </c>
      <c r="S34" s="706">
        <f t="shared" si="12"/>
        <v>100</v>
      </c>
      <c r="T34" s="705" t="s">
        <v>14</v>
      </c>
      <c r="U34" s="706">
        <f t="shared" si="13"/>
        <v>100</v>
      </c>
      <c r="V34" s="705" t="s">
        <v>14</v>
      </c>
      <c r="W34" s="706">
        <f t="shared" si="14"/>
        <v>100</v>
      </c>
      <c r="X34" s="1355"/>
      <c r="Y34" s="372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1"/>
      <c r="Q35" s="707">
        <f t="shared" si="11"/>
        <v>111</v>
      </c>
      <c r="R35" s="708" t="s">
        <v>14</v>
      </c>
      <c r="S35" s="709">
        <f t="shared" si="12"/>
        <v>100</v>
      </c>
      <c r="T35" s="708" t="s">
        <v>14</v>
      </c>
      <c r="U35" s="709">
        <f t="shared" si="13"/>
        <v>100</v>
      </c>
      <c r="V35" s="708" t="s">
        <v>14</v>
      </c>
      <c r="W35" s="709">
        <f t="shared" si="14"/>
        <v>100</v>
      </c>
      <c r="X35" s="710"/>
      <c r="Y35" s="372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1"/>
      <c r="Q36" s="1352">
        <f t="shared" si="11"/>
        <v>111</v>
      </c>
      <c r="R36" s="705" t="s">
        <v>14</v>
      </c>
      <c r="S36" s="706">
        <f t="shared" si="12"/>
        <v>100</v>
      </c>
      <c r="T36" s="705" t="s">
        <v>14</v>
      </c>
      <c r="U36" s="706">
        <f t="shared" si="13"/>
        <v>100</v>
      </c>
      <c r="V36" s="705" t="s">
        <v>14</v>
      </c>
      <c r="W36" s="706">
        <f t="shared" si="14"/>
        <v>100</v>
      </c>
      <c r="X36" s="1355"/>
      <c r="Y36" s="3721"/>
      <c r="Z36" s="1356">
        <f t="shared" si="15"/>
        <v>111</v>
      </c>
      <c r="AA36" s="1353">
        <f t="shared" si="3"/>
        <v>1</v>
      </c>
      <c r="AB36" s="1353">
        <f t="shared" si="4"/>
        <v>1</v>
      </c>
      <c r="AC36" s="1353">
        <f t="shared" si="5"/>
        <v>1</v>
      </c>
    </row>
    <row r="37" spans="1:29" ht="15">
      <c r="A37" s="430" t="s">
        <v>1841</v>
      </c>
      <c r="B37" s="1973" t="s">
        <v>3354</v>
      </c>
      <c r="C37" s="1154" t="s">
        <v>0</v>
      </c>
      <c r="D37" s="1155"/>
      <c r="E37" s="1156"/>
      <c r="F37" s="1157"/>
      <c r="G37" s="1158"/>
      <c r="H37" s="1159"/>
      <c r="I37" s="1156"/>
      <c r="J37" s="1159"/>
      <c r="K37" s="568"/>
      <c r="L37" s="2723"/>
      <c r="M37" s="2724"/>
      <c r="N37" s="2715"/>
      <c r="O37" s="2724"/>
      <c r="P37" s="3714" t="str">
        <f>A37</f>
        <v>成交单价</v>
      </c>
      <c r="Q37" s="3714"/>
      <c r="R37" s="3715">
        <f>E37</f>
        <v>0</v>
      </c>
      <c r="S37" s="3715"/>
      <c r="T37" s="3715">
        <f>G37</f>
        <v>0</v>
      </c>
      <c r="U37" s="3715"/>
      <c r="V37" s="3715">
        <f>I37</f>
        <v>0</v>
      </c>
      <c r="W37" s="3715"/>
      <c r="X37" s="690"/>
      <c r="Y37" s="712"/>
      <c r="Z37" s="690"/>
      <c r="AA37" s="690"/>
      <c r="AB37" s="690"/>
      <c r="AC37" s="690"/>
    </row>
    <row r="38" spans="1:29" ht="15.75" thickBot="1">
      <c r="A38" s="437" t="s">
        <v>1842</v>
      </c>
      <c r="B38" s="438" t="str">
        <f>B37</f>
        <v>元/平方米</v>
      </c>
      <c r="C38" s="1160" t="e">
        <f>R39</f>
        <v>#DIV/0!</v>
      </c>
      <c r="D38" s="2317" t="s">
        <v>2134</v>
      </c>
      <c r="E38" s="1161" t="e">
        <f>R38</f>
        <v>#DIV/0!</v>
      </c>
      <c r="F38" s="2318"/>
      <c r="G38" s="1160" t="e">
        <f>T38</f>
        <v>#DIV/0!</v>
      </c>
      <c r="H38" s="2318"/>
      <c r="I38" s="1161" t="e">
        <f>V38</f>
        <v>#DIV/0!</v>
      </c>
      <c r="J38" s="2318"/>
      <c r="K38" s="2320">
        <f>F38+H38+J38</f>
        <v>0</v>
      </c>
      <c r="L38" s="2723"/>
      <c r="M38" s="2724"/>
      <c r="N38" s="2724"/>
      <c r="O38" s="2724"/>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3"/>
      <c r="M39" s="2724"/>
      <c r="N39" s="2724"/>
      <c r="O39" s="2724"/>
      <c r="P39" s="3711" t="str">
        <f>A39</f>
        <v>估价对象XX用房的比较价值（楼面单价，元/平方米）</v>
      </c>
      <c r="Q39" s="3712"/>
      <c r="R39" s="3774" t="e">
        <f>IF(F1="售价",ROUND(IF(D38="简单平均",AVERAGE(R38:W38),R38*F38+T38*H38+V38*J38),0),ROUND(IF(D38="简单平均",AVERAGE(R38:V38),R38*F38+T38*H38+V38*J38),1))</f>
        <v>#DIV/0!</v>
      </c>
      <c r="S39" s="3774"/>
      <c r="T39" s="3774"/>
      <c r="U39" s="3774"/>
      <c r="V39" s="3774"/>
      <c r="W39" s="377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1847</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1848</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1713</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1678</v>
      </c>
      <c r="B51" s="459"/>
      <c r="C51" s="471" t="s">
        <v>1773</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1716</v>
      </c>
      <c r="B53" s="477" t="s">
        <v>1682</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1685</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1724</v>
      </c>
      <c r="C65" s="527" t="s">
        <v>1718</v>
      </c>
      <c r="D65" s="527" t="s">
        <v>1719</v>
      </c>
      <c r="E65" s="527" t="s">
        <v>1720</v>
      </c>
      <c r="F65" s="527" t="s">
        <v>1721</v>
      </c>
      <c r="G65" s="527" t="s">
        <v>1722</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1810</v>
      </c>
      <c r="C67" s="608" t="s">
        <v>1796</v>
      </c>
      <c r="D67" s="608" t="s">
        <v>1797</v>
      </c>
      <c r="E67" s="608" t="s">
        <v>1798</v>
      </c>
      <c r="F67" s="608" t="s">
        <v>1799</v>
      </c>
      <c r="G67" s="608" t="s">
        <v>1800</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1730</v>
      </c>
      <c r="C69" s="527" t="s">
        <v>1718</v>
      </c>
      <c r="D69" s="527" t="s">
        <v>1719</v>
      </c>
      <c r="E69" s="527" t="s">
        <v>1720</v>
      </c>
      <c r="F69" s="527" t="s">
        <v>1721</v>
      </c>
      <c r="G69" s="527" t="s">
        <v>1722</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1849</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1691</v>
      </c>
      <c r="B79" s="477" t="s">
        <v>1850</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1851</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1737</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1853</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1855</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1856</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3" priority="18" stopIfTrue="1" operator="containsText" text="超过">
      <formula>NOT(ISERROR(SEARCH("超过",F42)))</formula>
    </cfRule>
  </conditionalFormatting>
  <conditionalFormatting sqref="J44">
    <cfRule type="containsText" dxfId="112" priority="17" stopIfTrue="1" operator="containsText" text="超过">
      <formula>NOT(ISERROR(SEARCH("超过",J44)))</formula>
    </cfRule>
  </conditionalFormatting>
  <conditionalFormatting sqref="H44">
    <cfRule type="containsText" dxfId="111" priority="16" stopIfTrue="1" operator="containsText" text="超过">
      <formula>NOT(ISERROR(SEARCH("超过",H44)))</formula>
    </cfRule>
  </conditionalFormatting>
  <conditionalFormatting sqref="F44">
    <cfRule type="containsText" dxfId="110" priority="15" stopIfTrue="1" operator="containsText" text="超过">
      <formula>NOT(ISERROR(SEARCH("超过",F44)))</formula>
    </cfRule>
  </conditionalFormatting>
  <conditionalFormatting sqref="F43 H43 J43">
    <cfRule type="containsText" dxfId="109" priority="14" stopIfTrue="1" operator="containsText" text="超过">
      <formula>NOT(ISERROR(SEARCH("超过",F43)))</formula>
    </cfRule>
  </conditionalFormatting>
  <conditionalFormatting sqref="E42">
    <cfRule type="expression" dxfId="108" priority="13" stopIfTrue="1">
      <formula>$F$42="超过30%"</formula>
    </cfRule>
  </conditionalFormatting>
  <conditionalFormatting sqref="G44">
    <cfRule type="expression" dxfId="107" priority="12" stopIfTrue="1">
      <formula>$H$54+$H$44="超过30%"</formula>
    </cfRule>
  </conditionalFormatting>
  <conditionalFormatting sqref="E43">
    <cfRule type="expression" dxfId="106" priority="11" stopIfTrue="1">
      <formula>$F$43="超过20%"</formula>
    </cfRule>
  </conditionalFormatting>
  <conditionalFormatting sqref="E44">
    <cfRule type="expression" dxfId="105" priority="10" stopIfTrue="1">
      <formula>$F$44="超过30%"</formula>
    </cfRule>
  </conditionalFormatting>
  <conditionalFormatting sqref="G42">
    <cfRule type="expression" dxfId="104" priority="9" stopIfTrue="1">
      <formula>$H$52+$H$42="超过30%"</formula>
    </cfRule>
  </conditionalFormatting>
  <conditionalFormatting sqref="G43">
    <cfRule type="expression" dxfId="103" priority="8" stopIfTrue="1">
      <formula>$H$43="超过20%"</formula>
    </cfRule>
  </conditionalFormatting>
  <conditionalFormatting sqref="I42">
    <cfRule type="expression" dxfId="102" priority="7" stopIfTrue="1">
      <formula>$J$52+$J$42="超过30%"</formula>
    </cfRule>
  </conditionalFormatting>
  <conditionalFormatting sqref="I43">
    <cfRule type="expression" dxfId="101" priority="6" stopIfTrue="1">
      <formula>$J$53+$J$43="超过20%"</formula>
    </cfRule>
  </conditionalFormatting>
  <conditionalFormatting sqref="I44">
    <cfRule type="expression" dxfId="100" priority="5" stopIfTrue="1">
      <formula>$J$44="超过30%"</formula>
    </cfRule>
  </conditionalFormatting>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F7:F36 H7:H36 J7:J36">
    <cfRule type="cellIs" dxfId="9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3334</v>
      </c>
      <c r="C1" s="1224" t="s">
        <v>1659</v>
      </c>
      <c r="D1" s="1225"/>
      <c r="E1" s="3432"/>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1766</v>
      </c>
      <c r="B4" s="356"/>
      <c r="C4" s="3729" t="s">
        <v>1767</v>
      </c>
      <c r="D4" s="3730"/>
      <c r="E4" s="3731" t="s">
        <v>1768</v>
      </c>
      <c r="F4" s="3732"/>
      <c r="G4" s="3729" t="s">
        <v>1769</v>
      </c>
      <c r="H4" s="3730"/>
      <c r="I4" s="3729" t="s">
        <v>1770</v>
      </c>
      <c r="J4" s="3730"/>
      <c r="K4" s="559" t="s">
        <v>1771</v>
      </c>
      <c r="L4" s="2714"/>
      <c r="M4" s="2715"/>
      <c r="N4" s="2715"/>
      <c r="O4" s="2715"/>
      <c r="P4" s="3733" t="s">
        <v>1772</v>
      </c>
      <c r="Q4" s="3734"/>
      <c r="R4" s="3739" t="s">
        <v>1768</v>
      </c>
      <c r="S4" s="3740"/>
      <c r="T4" s="3739" t="s">
        <v>1769</v>
      </c>
      <c r="U4" s="3740"/>
      <c r="V4" s="3745" t="s">
        <v>1770</v>
      </c>
      <c r="W4" s="3745"/>
      <c r="X4" s="1355"/>
      <c r="Y4" s="3739" t="s">
        <v>1772</v>
      </c>
      <c r="Z4" s="3740"/>
      <c r="AA4" s="3726" t="s">
        <v>1768</v>
      </c>
      <c r="AB4" s="3727" t="s">
        <v>1769</v>
      </c>
      <c r="AC4" s="3726" t="s">
        <v>1770</v>
      </c>
    </row>
    <row r="5" spans="1:29" ht="15">
      <c r="A5" s="358"/>
      <c r="B5" s="359"/>
      <c r="C5" s="3748" t="s">
        <v>1670</v>
      </c>
      <c r="D5" s="3749"/>
      <c r="E5" s="3755" t="s">
        <v>1671</v>
      </c>
      <c r="F5" s="3756"/>
      <c r="G5" s="3748" t="s">
        <v>1672</v>
      </c>
      <c r="H5" s="3749"/>
      <c r="I5" s="3748" t="s">
        <v>1673</v>
      </c>
      <c r="J5" s="3749"/>
      <c r="K5" s="559"/>
      <c r="L5" s="2714"/>
      <c r="M5" s="2715"/>
      <c r="N5" s="2715"/>
      <c r="O5" s="2715"/>
      <c r="P5" s="3735"/>
      <c r="Q5" s="3736"/>
      <c r="R5" s="3741"/>
      <c r="S5" s="3742"/>
      <c r="T5" s="3741"/>
      <c r="U5" s="3742"/>
      <c r="V5" s="3745"/>
      <c r="W5" s="3745"/>
      <c r="X5" s="1355"/>
      <c r="Y5" s="3741"/>
      <c r="Z5" s="3742"/>
      <c r="AA5" s="3727"/>
      <c r="AB5" s="3727"/>
      <c r="AC5" s="3727"/>
    </row>
    <row r="6" spans="1:29" ht="15.75" thickBot="1">
      <c r="A6" s="360"/>
      <c r="B6" s="361"/>
      <c r="C6" s="3746" t="s">
        <v>1674</v>
      </c>
      <c r="D6" s="3747"/>
      <c r="E6" s="3753" t="s">
        <v>1674</v>
      </c>
      <c r="F6" s="3754"/>
      <c r="G6" s="3746" t="s">
        <v>1674</v>
      </c>
      <c r="H6" s="3747"/>
      <c r="I6" s="3746" t="s">
        <v>1674</v>
      </c>
      <c r="J6" s="3747"/>
      <c r="K6" s="559" t="s">
        <v>1675</v>
      </c>
      <c r="L6" s="2714"/>
      <c r="M6" s="2715"/>
      <c r="N6" s="2715"/>
      <c r="O6" s="2715"/>
      <c r="P6" s="3737"/>
      <c r="Q6" s="3738"/>
      <c r="R6" s="3741"/>
      <c r="S6" s="3742"/>
      <c r="T6" s="3743"/>
      <c r="U6" s="3744"/>
      <c r="V6" s="3745"/>
      <c r="W6" s="3745"/>
      <c r="X6" s="1355"/>
      <c r="Y6" s="3743"/>
      <c r="Z6" s="3744"/>
      <c r="AA6" s="3728"/>
      <c r="AB6" s="3728"/>
      <c r="AC6" s="3728"/>
    </row>
    <row r="7" spans="1:29" s="108" customFormat="1" ht="15.75" thickBot="1">
      <c r="A7" s="362" t="s">
        <v>1676</v>
      </c>
      <c r="B7" s="363"/>
      <c r="C7" s="364">
        <f>'数据-取费表'!B2</f>
        <v>45405</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50" t="s">
        <v>1677</v>
      </c>
      <c r="Q7" s="3752"/>
      <c r="R7" s="701" t="s">
        <v>14</v>
      </c>
      <c r="S7" s="702">
        <f t="shared" ref="S7:S14" si="0">F7</f>
        <v>0</v>
      </c>
      <c r="T7" s="701" t="s">
        <v>14</v>
      </c>
      <c r="U7" s="702">
        <f t="shared" ref="U7:U14" si="1">H7</f>
        <v>0</v>
      </c>
      <c r="V7" s="701" t="s">
        <v>14</v>
      </c>
      <c r="W7" s="702">
        <f t="shared" ref="W7:W14" si="2">J7</f>
        <v>0</v>
      </c>
      <c r="X7" s="703"/>
      <c r="Y7" s="3750" t="s">
        <v>1677</v>
      </c>
      <c r="Z7" s="3751"/>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50" t="s">
        <v>1680</v>
      </c>
      <c r="Q8" s="3751"/>
      <c r="R8" s="701" t="s">
        <v>14</v>
      </c>
      <c r="S8" s="702">
        <f t="shared" si="0"/>
        <v>100</v>
      </c>
      <c r="T8" s="701" t="s">
        <v>14</v>
      </c>
      <c r="U8" s="702">
        <f t="shared" si="1"/>
        <v>100</v>
      </c>
      <c r="V8" s="701" t="s">
        <v>14</v>
      </c>
      <c r="W8" s="702">
        <f t="shared" si="2"/>
        <v>100</v>
      </c>
      <c r="X8" s="703"/>
      <c r="Y8" s="3750" t="s">
        <v>1680</v>
      </c>
      <c r="Z8" s="3751"/>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4" t="s">
        <v>1683</v>
      </c>
      <c r="Q9" s="1343" t="str">
        <f t="shared" ref="Q9:Q14" si="6">B9</f>
        <v>用途</v>
      </c>
      <c r="R9" s="701" t="s">
        <v>14</v>
      </c>
      <c r="S9" s="702">
        <f t="shared" si="0"/>
        <v>100</v>
      </c>
      <c r="T9" s="701" t="s">
        <v>14</v>
      </c>
      <c r="U9" s="702">
        <f t="shared" si="1"/>
        <v>100</v>
      </c>
      <c r="V9" s="701" t="s">
        <v>14</v>
      </c>
      <c r="W9" s="702">
        <f t="shared" si="2"/>
        <v>100</v>
      </c>
      <c r="X9" s="703"/>
      <c r="Y9" s="3589" t="s">
        <v>1684</v>
      </c>
      <c r="Z9" s="52" t="str">
        <f t="shared" ref="Z9:Z14" si="7">Q9</f>
        <v>用途</v>
      </c>
      <c r="AA9" s="704">
        <f t="shared" si="3"/>
        <v>1</v>
      </c>
      <c r="AB9" s="704">
        <f t="shared" si="4"/>
        <v>1</v>
      </c>
      <c r="AC9" s="704">
        <f t="shared" si="5"/>
        <v>1</v>
      </c>
    </row>
    <row r="10" spans="1:29" s="378" customFormat="1" ht="27">
      <c r="A10" s="374"/>
      <c r="B10" s="375" t="s">
        <v>1685</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4"/>
      <c r="Q10" s="1343" t="str">
        <f t="shared" si="6"/>
        <v>土地使用年限（年）</v>
      </c>
      <c r="R10" s="701" t="s">
        <v>14</v>
      </c>
      <c r="S10" s="702">
        <f t="shared" si="0"/>
        <v>100</v>
      </c>
      <c r="T10" s="701" t="s">
        <v>14</v>
      </c>
      <c r="U10" s="702">
        <f t="shared" si="1"/>
        <v>100</v>
      </c>
      <c r="V10" s="701" t="s">
        <v>14</v>
      </c>
      <c r="W10" s="702">
        <f t="shared" si="2"/>
        <v>100</v>
      </c>
      <c r="X10" s="703"/>
      <c r="Y10" s="358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4"/>
      <c r="Q11" s="1343">
        <f t="shared" si="6"/>
        <v>111</v>
      </c>
      <c r="R11" s="701" t="s">
        <v>14</v>
      </c>
      <c r="S11" s="702">
        <f t="shared" si="0"/>
        <v>100</v>
      </c>
      <c r="T11" s="701" t="s">
        <v>14</v>
      </c>
      <c r="U11" s="702">
        <f t="shared" si="1"/>
        <v>100</v>
      </c>
      <c r="V11" s="701" t="s">
        <v>14</v>
      </c>
      <c r="W11" s="702">
        <f t="shared" si="2"/>
        <v>100</v>
      </c>
      <c r="X11" s="703"/>
      <c r="Y11" s="358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4"/>
      <c r="Q12" s="1343">
        <f t="shared" si="6"/>
        <v>111</v>
      </c>
      <c r="R12" s="701" t="s">
        <v>14</v>
      </c>
      <c r="S12" s="702">
        <f t="shared" si="0"/>
        <v>100</v>
      </c>
      <c r="T12" s="701" t="s">
        <v>14</v>
      </c>
      <c r="U12" s="702">
        <f t="shared" si="1"/>
        <v>100</v>
      </c>
      <c r="V12" s="701" t="s">
        <v>14</v>
      </c>
      <c r="W12" s="702">
        <f t="shared" si="2"/>
        <v>100</v>
      </c>
      <c r="X12" s="703"/>
      <c r="Y12" s="358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14"/>
      <c r="Q13" s="1343">
        <f t="shared" si="6"/>
        <v>111</v>
      </c>
      <c r="R13" s="701" t="s">
        <v>14</v>
      </c>
      <c r="S13" s="702">
        <f t="shared" si="0"/>
        <v>100</v>
      </c>
      <c r="T13" s="701" t="s">
        <v>14</v>
      </c>
      <c r="U13" s="702">
        <f t="shared" si="1"/>
        <v>100</v>
      </c>
      <c r="V13" s="701" t="s">
        <v>14</v>
      </c>
      <c r="W13" s="702">
        <f t="shared" si="2"/>
        <v>100</v>
      </c>
      <c r="X13" s="703"/>
      <c r="Y13" s="3589"/>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6" t="s">
        <v>1688</v>
      </c>
      <c r="Q14" s="1352" t="str">
        <f t="shared" si="6"/>
        <v>交通便捷度</v>
      </c>
      <c r="R14" s="705" t="s">
        <v>14</v>
      </c>
      <c r="S14" s="706">
        <f t="shared" si="0"/>
        <v>100</v>
      </c>
      <c r="T14" s="705" t="s">
        <v>14</v>
      </c>
      <c r="U14" s="706">
        <f t="shared" si="1"/>
        <v>100</v>
      </c>
      <c r="V14" s="705" t="s">
        <v>14</v>
      </c>
      <c r="W14" s="706">
        <f t="shared" si="2"/>
        <v>100</v>
      </c>
      <c r="X14" s="1355"/>
      <c r="Y14" s="3716"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7"/>
      <c r="Q15" s="1352"/>
      <c r="R15" s="705"/>
      <c r="S15" s="706"/>
      <c r="T15" s="705"/>
      <c r="U15" s="706"/>
      <c r="V15" s="705"/>
      <c r="W15" s="706"/>
      <c r="X15" s="1355"/>
      <c r="Y15" s="3717"/>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7"/>
      <c r="Q16" s="1352" t="str">
        <f>B16</f>
        <v>公共配套设施</v>
      </c>
      <c r="R16" s="705" t="s">
        <v>14</v>
      </c>
      <c r="S16" s="706">
        <f>F16</f>
        <v>100</v>
      </c>
      <c r="T16" s="705" t="s">
        <v>14</v>
      </c>
      <c r="U16" s="706">
        <f>H16</f>
        <v>100</v>
      </c>
      <c r="V16" s="705" t="s">
        <v>14</v>
      </c>
      <c r="W16" s="706">
        <f>J16</f>
        <v>100</v>
      </c>
      <c r="X16" s="1355"/>
      <c r="Y16" s="371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7"/>
      <c r="Q17" s="1352"/>
      <c r="R17" s="705"/>
      <c r="S17" s="706"/>
      <c r="T17" s="705"/>
      <c r="U17" s="706"/>
      <c r="V17" s="705"/>
      <c r="W17" s="706"/>
      <c r="X17" s="1355"/>
      <c r="Y17" s="3717"/>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7"/>
      <c r="Q18" s="1352" t="str">
        <f>B18</f>
        <v>基础设施水平</v>
      </c>
      <c r="R18" s="705" t="s">
        <v>14</v>
      </c>
      <c r="S18" s="706">
        <f>F18</f>
        <v>100</v>
      </c>
      <c r="T18" s="705" t="s">
        <v>14</v>
      </c>
      <c r="U18" s="706">
        <f>H18</f>
        <v>100</v>
      </c>
      <c r="V18" s="705" t="s">
        <v>14</v>
      </c>
      <c r="W18" s="706">
        <f>J18</f>
        <v>100</v>
      </c>
      <c r="X18" s="1355"/>
      <c r="Y18" s="371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7"/>
      <c r="Q19" s="1352"/>
      <c r="R19" s="705"/>
      <c r="S19" s="706"/>
      <c r="T19" s="705"/>
      <c r="U19" s="706"/>
      <c r="V19" s="705"/>
      <c r="W19" s="706"/>
      <c r="X19" s="1355"/>
      <c r="Y19" s="3717"/>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7"/>
      <c r="Q20" s="1352" t="str">
        <f>B20</f>
        <v>自然及人文环境</v>
      </c>
      <c r="R20" s="705" t="s">
        <v>14</v>
      </c>
      <c r="S20" s="706">
        <f>F20</f>
        <v>100</v>
      </c>
      <c r="T20" s="705" t="s">
        <v>14</v>
      </c>
      <c r="U20" s="706">
        <f>H20</f>
        <v>100</v>
      </c>
      <c r="V20" s="705" t="s">
        <v>14</v>
      </c>
      <c r="W20" s="706">
        <f>J20</f>
        <v>100</v>
      </c>
      <c r="X20" s="1355"/>
      <c r="Y20" s="371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7"/>
      <c r="Q21" s="1352"/>
      <c r="R21" s="705"/>
      <c r="S21" s="706"/>
      <c r="T21" s="705"/>
      <c r="U21" s="706"/>
      <c r="V21" s="705"/>
      <c r="W21" s="706"/>
      <c r="X21" s="1355"/>
      <c r="Y21" s="3717"/>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7"/>
      <c r="Q22" s="1352" t="str">
        <f>B22</f>
        <v>楼层</v>
      </c>
      <c r="R22" s="705" t="s">
        <v>14</v>
      </c>
      <c r="S22" s="706">
        <f>F22</f>
        <v>100</v>
      </c>
      <c r="T22" s="705" t="s">
        <v>14</v>
      </c>
      <c r="U22" s="706">
        <f>H22</f>
        <v>100</v>
      </c>
      <c r="V22" s="705" t="s">
        <v>14</v>
      </c>
      <c r="W22" s="706">
        <f>J22</f>
        <v>100</v>
      </c>
      <c r="X22" s="1355"/>
      <c r="Y22" s="371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7"/>
      <c r="Q23" s="1352">
        <f>B23</f>
        <v>111</v>
      </c>
      <c r="R23" s="705" t="s">
        <v>14</v>
      </c>
      <c r="S23" s="706">
        <f>F23</f>
        <v>100</v>
      </c>
      <c r="T23" s="705" t="s">
        <v>14</v>
      </c>
      <c r="U23" s="706">
        <f>H23</f>
        <v>100</v>
      </c>
      <c r="V23" s="705" t="s">
        <v>14</v>
      </c>
      <c r="W23" s="706">
        <f>J23</f>
        <v>100</v>
      </c>
      <c r="X23" s="1355"/>
      <c r="Y23" s="371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7"/>
      <c r="Q24" s="1352">
        <f t="shared" ref="Q24:Q34" si="11">B24</f>
        <v>111</v>
      </c>
      <c r="R24" s="705" t="s">
        <v>14</v>
      </c>
      <c r="S24" s="706">
        <f>F24</f>
        <v>100</v>
      </c>
      <c r="T24" s="705" t="s">
        <v>14</v>
      </c>
      <c r="U24" s="706">
        <f>H24</f>
        <v>100</v>
      </c>
      <c r="V24" s="705" t="s">
        <v>14</v>
      </c>
      <c r="W24" s="706">
        <f>J24</f>
        <v>100</v>
      </c>
      <c r="X24" s="1355"/>
      <c r="Y24" s="371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17"/>
      <c r="Q25" s="1343">
        <f t="shared" si="11"/>
        <v>111</v>
      </c>
      <c r="R25" s="701" t="s">
        <v>14</v>
      </c>
      <c r="S25" s="702">
        <f>F25</f>
        <v>100</v>
      </c>
      <c r="T25" s="701" t="s">
        <v>14</v>
      </c>
      <c r="U25" s="702">
        <f>H25</f>
        <v>100</v>
      </c>
      <c r="V25" s="701" t="s">
        <v>14</v>
      </c>
      <c r="W25" s="702">
        <f>J25</f>
        <v>100</v>
      </c>
      <c r="X25" s="703"/>
      <c r="Y25" s="3717"/>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73"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1"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1"/>
      <c r="Q27" s="707" t="str">
        <f t="shared" si="11"/>
        <v>成新率</v>
      </c>
      <c r="R27" s="708" t="s">
        <v>14</v>
      </c>
      <c r="S27" s="709" t="e">
        <f t="shared" si="12"/>
        <v>#N/A</v>
      </c>
      <c r="T27" s="708" t="s">
        <v>14</v>
      </c>
      <c r="U27" s="709" t="e">
        <f t="shared" si="13"/>
        <v>#N/A</v>
      </c>
      <c r="V27" s="708" t="s">
        <v>14</v>
      </c>
      <c r="W27" s="709" t="e">
        <f t="shared" si="14"/>
        <v>#N/A</v>
      </c>
      <c r="X27" s="710"/>
      <c r="Y27" s="3721"/>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1"/>
      <c r="Q28" s="1352" t="str">
        <f t="shared" si="11"/>
        <v>物业等级</v>
      </c>
      <c r="R28" s="705" t="s">
        <v>14</v>
      </c>
      <c r="S28" s="706">
        <f t="shared" si="12"/>
        <v>100</v>
      </c>
      <c r="T28" s="705" t="s">
        <v>14</v>
      </c>
      <c r="U28" s="706">
        <f t="shared" si="13"/>
        <v>100</v>
      </c>
      <c r="V28" s="705" t="s">
        <v>14</v>
      </c>
      <c r="W28" s="706">
        <f t="shared" si="14"/>
        <v>100</v>
      </c>
      <c r="X28" s="1355"/>
      <c r="Y28" s="3721"/>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1"/>
      <c r="Q29" s="1352" t="str">
        <f t="shared" si="11"/>
        <v>有无电梯</v>
      </c>
      <c r="R29" s="705" t="s">
        <v>14</v>
      </c>
      <c r="S29" s="706">
        <f t="shared" si="12"/>
        <v>100</v>
      </c>
      <c r="T29" s="705" t="s">
        <v>14</v>
      </c>
      <c r="U29" s="706">
        <f t="shared" si="13"/>
        <v>100</v>
      </c>
      <c r="V29" s="705" t="s">
        <v>14</v>
      </c>
      <c r="W29" s="706">
        <f t="shared" si="14"/>
        <v>100</v>
      </c>
      <c r="X29" s="1355"/>
      <c r="Y29" s="3721"/>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1"/>
      <c r="Q30" s="1352" t="str">
        <f t="shared" si="11"/>
        <v>建筑面积</v>
      </c>
      <c r="R30" s="705" t="s">
        <v>14</v>
      </c>
      <c r="S30" s="706" t="e">
        <f t="shared" si="12"/>
        <v>#N/A</v>
      </c>
      <c r="T30" s="705" t="s">
        <v>14</v>
      </c>
      <c r="U30" s="706" t="e">
        <f t="shared" si="13"/>
        <v>#N/A</v>
      </c>
      <c r="V30" s="705" t="s">
        <v>14</v>
      </c>
      <c r="W30" s="706" t="e">
        <f t="shared" si="14"/>
        <v>#N/A</v>
      </c>
      <c r="X30" s="1355"/>
      <c r="Y30" s="3721"/>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1"/>
      <c r="Q31" s="1343" t="str">
        <f t="shared" si="11"/>
        <v>是否封闭</v>
      </c>
      <c r="R31" s="701" t="s">
        <v>14</v>
      </c>
      <c r="S31" s="702">
        <f t="shared" si="12"/>
        <v>100</v>
      </c>
      <c r="T31" s="701" t="s">
        <v>14</v>
      </c>
      <c r="U31" s="702">
        <f t="shared" si="13"/>
        <v>100</v>
      </c>
      <c r="V31" s="701" t="s">
        <v>14</v>
      </c>
      <c r="W31" s="702">
        <f t="shared" si="14"/>
        <v>100</v>
      </c>
      <c r="X31" s="703"/>
      <c r="Y31" s="372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1" t="s">
        <v>1693</v>
      </c>
      <c r="Q32" s="1352">
        <f t="shared" si="11"/>
        <v>111</v>
      </c>
      <c r="R32" s="705" t="s">
        <v>14</v>
      </c>
      <c r="S32" s="706">
        <f t="shared" si="12"/>
        <v>100</v>
      </c>
      <c r="T32" s="705" t="s">
        <v>14</v>
      </c>
      <c r="U32" s="706">
        <f t="shared" si="13"/>
        <v>100</v>
      </c>
      <c r="V32" s="705" t="s">
        <v>14</v>
      </c>
      <c r="W32" s="706">
        <f t="shared" si="14"/>
        <v>100</v>
      </c>
      <c r="X32" s="1355"/>
      <c r="Y32" s="3721"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1"/>
      <c r="Q33" s="1352">
        <f t="shared" si="11"/>
        <v>111</v>
      </c>
      <c r="R33" s="705" t="s">
        <v>14</v>
      </c>
      <c r="S33" s="706">
        <f t="shared" si="12"/>
        <v>100</v>
      </c>
      <c r="T33" s="705" t="s">
        <v>14</v>
      </c>
      <c r="U33" s="706">
        <f t="shared" si="13"/>
        <v>100</v>
      </c>
      <c r="V33" s="705" t="s">
        <v>14</v>
      </c>
      <c r="W33" s="706">
        <f t="shared" si="14"/>
        <v>100</v>
      </c>
      <c r="X33" s="1355"/>
      <c r="Y33" s="372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21"/>
      <c r="Q34" s="1352">
        <f t="shared" si="11"/>
        <v>111</v>
      </c>
      <c r="R34" s="705" t="s">
        <v>14</v>
      </c>
      <c r="S34" s="706">
        <f t="shared" si="12"/>
        <v>100</v>
      </c>
      <c r="T34" s="705" t="s">
        <v>14</v>
      </c>
      <c r="U34" s="706">
        <f t="shared" si="13"/>
        <v>100</v>
      </c>
      <c r="V34" s="705" t="s">
        <v>14</v>
      </c>
      <c r="W34" s="706">
        <f t="shared" si="14"/>
        <v>100</v>
      </c>
      <c r="X34" s="1355"/>
      <c r="Y34" s="3721"/>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3"/>
      <c r="M35" s="2724"/>
      <c r="N35" s="2715"/>
      <c r="O35" s="2724"/>
      <c r="P35" s="3714" t="str">
        <f>A35</f>
        <v>成交单价（元/平方米）</v>
      </c>
      <c r="Q35" s="3714"/>
      <c r="R35" s="3715">
        <f>E35</f>
        <v>0</v>
      </c>
      <c r="S35" s="3715"/>
      <c r="T35" s="3715">
        <f>G35</f>
        <v>0</v>
      </c>
      <c r="U35" s="3715"/>
      <c r="V35" s="3715">
        <f>I35</f>
        <v>0</v>
      </c>
      <c r="W35" s="3715"/>
      <c r="X35" s="690"/>
      <c r="Y35" s="712"/>
      <c r="Z35" s="690"/>
      <c r="AA35" s="690"/>
      <c r="AB35" s="690"/>
      <c r="AC35" s="690"/>
    </row>
    <row r="36" spans="1:30" ht="15.75" thickBot="1">
      <c r="A36" s="437" t="s">
        <v>1790</v>
      </c>
      <c r="B36" s="438"/>
      <c r="C36" s="1160" t="e">
        <f>R37</f>
        <v>#DIV/0!</v>
      </c>
      <c r="D36" s="2317" t="s">
        <v>2134</v>
      </c>
      <c r="E36" s="1161" t="e">
        <f>R36</f>
        <v>#DIV/0!</v>
      </c>
      <c r="F36" s="2318"/>
      <c r="G36" s="1160" t="e">
        <f>T36</f>
        <v>#DIV/0!</v>
      </c>
      <c r="H36" s="2318"/>
      <c r="I36" s="1161" t="e">
        <f>V36</f>
        <v>#DIV/0!</v>
      </c>
      <c r="J36" s="2318"/>
      <c r="K36" s="2320">
        <f>F36+H36+J36</f>
        <v>0</v>
      </c>
      <c r="L36" s="2723"/>
      <c r="M36" s="2724"/>
      <c r="N36" s="2715"/>
      <c r="O36" s="2724"/>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3"/>
      <c r="M37" s="2724"/>
      <c r="N37" s="2724"/>
      <c r="O37" s="2724"/>
      <c r="P37" s="3711" t="str">
        <f>A37</f>
        <v>估价对象XX用房的比较价值（楼面单价，元/平方米）</v>
      </c>
      <c r="Q37" s="3712"/>
      <c r="R37" s="3774" t="e">
        <f>IF(F1="售价",ROUND(IF(D36="简单平均",AVERAGE(R36:W36),R36*F36+T36*H36+V36*J36),0),ROUND(IF(D36="简单平均",AVERAGE(R36:V36),R36*F36+T36*H36+V36*J36),1))</f>
        <v>#DIV/0!</v>
      </c>
      <c r="S37" s="3774"/>
      <c r="T37" s="3774"/>
      <c r="U37" s="3774"/>
      <c r="V37" s="3774"/>
      <c r="W37" s="377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1795</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1676</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1713</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1678</v>
      </c>
      <c r="B49" s="459"/>
      <c r="C49" s="471" t="s">
        <v>1773</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1716</v>
      </c>
      <c r="B51" s="477" t="s">
        <v>1682</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1685</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1860</v>
      </c>
      <c r="C63" s="527" t="s">
        <v>1718</v>
      </c>
      <c r="D63" s="527" t="s">
        <v>1719</v>
      </c>
      <c r="E63" s="527" t="s">
        <v>1720</v>
      </c>
      <c r="F63" s="527" t="s">
        <v>1721</v>
      </c>
      <c r="G63" s="527" t="s">
        <v>1722</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1810</v>
      </c>
      <c r="C65" s="608" t="s">
        <v>1796</v>
      </c>
      <c r="D65" s="608" t="s">
        <v>1797</v>
      </c>
      <c r="E65" s="608" t="s">
        <v>1798</v>
      </c>
      <c r="F65" s="608" t="s">
        <v>1799</v>
      </c>
      <c r="G65" s="608" t="s">
        <v>1800</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1730</v>
      </c>
      <c r="C67" s="527" t="s">
        <v>1718</v>
      </c>
      <c r="D67" s="527" t="s">
        <v>1719</v>
      </c>
      <c r="E67" s="527" t="s">
        <v>1720</v>
      </c>
      <c r="F67" s="527" t="s">
        <v>1721</v>
      </c>
      <c r="G67" s="527" t="s">
        <v>1722</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1849</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1691</v>
      </c>
      <c r="B77" s="477" t="s">
        <v>1737</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1853</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1861</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1863</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5" priority="18" stopIfTrue="1" operator="containsText" text="超过">
      <formula>NOT(ISERROR(SEARCH("超过",F40)))</formula>
    </cfRule>
  </conditionalFormatting>
  <conditionalFormatting sqref="J42">
    <cfRule type="containsText" dxfId="94" priority="17" stopIfTrue="1" operator="containsText" text="超过">
      <formula>NOT(ISERROR(SEARCH("超过",J42)))</formula>
    </cfRule>
  </conditionalFormatting>
  <conditionalFormatting sqref="H42">
    <cfRule type="containsText" dxfId="93" priority="16" stopIfTrue="1" operator="containsText" text="超过">
      <formula>NOT(ISERROR(SEARCH("超过",H42)))</formula>
    </cfRule>
  </conditionalFormatting>
  <conditionalFormatting sqref="F42">
    <cfRule type="containsText" dxfId="92" priority="15" stopIfTrue="1" operator="containsText" text="超过">
      <formula>NOT(ISERROR(SEARCH("超过",F42)))</formula>
    </cfRule>
  </conditionalFormatting>
  <conditionalFormatting sqref="F41 H41 J41">
    <cfRule type="containsText" dxfId="91" priority="14" stopIfTrue="1" operator="containsText" text="超过">
      <formula>NOT(ISERROR(SEARCH("超过",F41)))</formula>
    </cfRule>
  </conditionalFormatting>
  <conditionalFormatting sqref="E40">
    <cfRule type="expression" dxfId="90" priority="13" stopIfTrue="1">
      <formula>$F$40="超过30%"</formula>
    </cfRule>
  </conditionalFormatting>
  <conditionalFormatting sqref="G42">
    <cfRule type="expression" dxfId="89" priority="12" stopIfTrue="1">
      <formula>$H$54+$H$42="超过30%"</formula>
    </cfRule>
  </conditionalFormatting>
  <conditionalFormatting sqref="E41">
    <cfRule type="expression" dxfId="88" priority="11" stopIfTrue="1">
      <formula>$F$41="超过20%"</formula>
    </cfRule>
  </conditionalFormatting>
  <conditionalFormatting sqref="E42">
    <cfRule type="expression" dxfId="87" priority="10" stopIfTrue="1">
      <formula>$F$42="超过30%"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I40">
    <cfRule type="expression" dxfId="84" priority="7" stopIfTrue="1">
      <formula>$J$40="超过30%"</formula>
    </cfRule>
  </conditionalFormatting>
  <conditionalFormatting sqref="I41">
    <cfRule type="expression" dxfId="83" priority="6" stopIfTrue="1">
      <formula>$J$41="超过20%"</formula>
    </cfRule>
  </conditionalFormatting>
  <conditionalFormatting sqref="I42">
    <cfRule type="expression" dxfId="82" priority="5" stopIfTrue="1">
      <formula>$J$42="超过30%"</formula>
    </cfRule>
  </conditionalFormatting>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F7:F34 H7:H34 J7:J34">
    <cfRule type="cellIs" dxfId="7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1766</v>
      </c>
      <c r="B4" s="356"/>
      <c r="C4" s="3729" t="s">
        <v>1767</v>
      </c>
      <c r="D4" s="3730"/>
      <c r="E4" s="3731" t="s">
        <v>1768</v>
      </c>
      <c r="F4" s="3732"/>
      <c r="G4" s="3729" t="s">
        <v>1769</v>
      </c>
      <c r="H4" s="3730"/>
      <c r="I4" s="3729" t="s">
        <v>1770</v>
      </c>
      <c r="J4" s="3730"/>
      <c r="K4" s="559" t="s">
        <v>1771</v>
      </c>
      <c r="L4" s="2714"/>
      <c r="M4" s="2715"/>
      <c r="N4" s="2715"/>
      <c r="O4" s="2715"/>
      <c r="P4" s="3733" t="s">
        <v>1772</v>
      </c>
      <c r="Q4" s="3734"/>
      <c r="R4" s="3739" t="s">
        <v>1768</v>
      </c>
      <c r="S4" s="3740"/>
      <c r="T4" s="3739" t="s">
        <v>1769</v>
      </c>
      <c r="U4" s="3740"/>
      <c r="V4" s="3745" t="s">
        <v>1770</v>
      </c>
      <c r="W4" s="3745"/>
      <c r="X4" s="1355"/>
      <c r="Y4" s="3739" t="s">
        <v>1772</v>
      </c>
      <c r="Z4" s="3740"/>
      <c r="AA4" s="3726" t="s">
        <v>1768</v>
      </c>
      <c r="AB4" s="3727" t="s">
        <v>1769</v>
      </c>
      <c r="AC4" s="3726" t="s">
        <v>1770</v>
      </c>
    </row>
    <row r="5" spans="1:30" ht="15">
      <c r="A5" s="358"/>
      <c r="B5" s="359"/>
      <c r="C5" s="3748" t="s">
        <v>1670</v>
      </c>
      <c r="D5" s="3749"/>
      <c r="E5" s="3755" t="s">
        <v>1671</v>
      </c>
      <c r="F5" s="3756"/>
      <c r="G5" s="3748" t="s">
        <v>1672</v>
      </c>
      <c r="H5" s="3749"/>
      <c r="I5" s="3748" t="s">
        <v>1673</v>
      </c>
      <c r="J5" s="3749"/>
      <c r="K5" s="559"/>
      <c r="L5" s="2714"/>
      <c r="M5" s="2715"/>
      <c r="N5" s="2715"/>
      <c r="O5" s="2715"/>
      <c r="P5" s="3735"/>
      <c r="Q5" s="3736"/>
      <c r="R5" s="3741"/>
      <c r="S5" s="3742"/>
      <c r="T5" s="3741"/>
      <c r="U5" s="3742"/>
      <c r="V5" s="3745"/>
      <c r="W5" s="3745"/>
      <c r="X5" s="1355"/>
      <c r="Y5" s="3741"/>
      <c r="Z5" s="3742"/>
      <c r="AA5" s="3727"/>
      <c r="AB5" s="3727"/>
      <c r="AC5" s="3727"/>
    </row>
    <row r="6" spans="1:30" ht="15.75" thickBot="1">
      <c r="A6" s="360"/>
      <c r="B6" s="361"/>
      <c r="C6" s="3746" t="s">
        <v>1674</v>
      </c>
      <c r="D6" s="3747"/>
      <c r="E6" s="3753" t="s">
        <v>1674</v>
      </c>
      <c r="F6" s="3754"/>
      <c r="G6" s="3746" t="s">
        <v>1674</v>
      </c>
      <c r="H6" s="3747"/>
      <c r="I6" s="3746" t="s">
        <v>1674</v>
      </c>
      <c r="J6" s="3747"/>
      <c r="K6" s="559" t="s">
        <v>1675</v>
      </c>
      <c r="L6" s="2714"/>
      <c r="M6" s="2715"/>
      <c r="N6" s="2715"/>
      <c r="O6" s="2715"/>
      <c r="P6" s="3737"/>
      <c r="Q6" s="3738"/>
      <c r="R6" s="3741"/>
      <c r="S6" s="3742"/>
      <c r="T6" s="3743"/>
      <c r="U6" s="3744"/>
      <c r="V6" s="3745"/>
      <c r="W6" s="3745"/>
      <c r="X6" s="1355"/>
      <c r="Y6" s="3743"/>
      <c r="Z6" s="3744"/>
      <c r="AA6" s="3728"/>
      <c r="AB6" s="3728"/>
      <c r="AC6" s="3728"/>
    </row>
    <row r="7" spans="1:30" s="108" customFormat="1" ht="15.75" thickBot="1">
      <c r="A7" s="362" t="s">
        <v>1676</v>
      </c>
      <c r="B7" s="363"/>
      <c r="C7" s="364">
        <f>'数据-取费表'!B2</f>
        <v>45405</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50" t="s">
        <v>1677</v>
      </c>
      <c r="Q7" s="3752"/>
      <c r="R7" s="701" t="s">
        <v>14</v>
      </c>
      <c r="S7" s="702">
        <f t="shared" ref="S7:S15" si="0">F7</f>
        <v>0</v>
      </c>
      <c r="T7" s="701" t="s">
        <v>14</v>
      </c>
      <c r="U7" s="702">
        <f t="shared" ref="U7:U15" si="1">H7</f>
        <v>0</v>
      </c>
      <c r="V7" s="701" t="s">
        <v>14</v>
      </c>
      <c r="W7" s="702">
        <f t="shared" ref="W7:W15" si="2">J7</f>
        <v>0</v>
      </c>
      <c r="X7" s="703"/>
      <c r="Y7" s="3750" t="s">
        <v>1677</v>
      </c>
      <c r="Z7" s="3751"/>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50" t="s">
        <v>1680</v>
      </c>
      <c r="Q8" s="3751"/>
      <c r="R8" s="701" t="s">
        <v>14</v>
      </c>
      <c r="S8" s="702">
        <f t="shared" si="0"/>
        <v>0</v>
      </c>
      <c r="T8" s="701" t="s">
        <v>14</v>
      </c>
      <c r="U8" s="702">
        <f t="shared" si="1"/>
        <v>0</v>
      </c>
      <c r="V8" s="701" t="s">
        <v>14</v>
      </c>
      <c r="W8" s="702">
        <f t="shared" si="2"/>
        <v>0</v>
      </c>
      <c r="X8" s="703"/>
      <c r="Y8" s="3750" t="s">
        <v>1680</v>
      </c>
      <c r="Z8" s="3751"/>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14" t="s">
        <v>1683</v>
      </c>
      <c r="Q9" s="1343" t="str">
        <f t="shared" ref="Q9:Q15" si="6">B9</f>
        <v>用途</v>
      </c>
      <c r="R9" s="701" t="s">
        <v>14</v>
      </c>
      <c r="S9" s="702">
        <f t="shared" si="0"/>
        <v>100</v>
      </c>
      <c r="T9" s="701" t="s">
        <v>14</v>
      </c>
      <c r="U9" s="702">
        <f t="shared" si="1"/>
        <v>100</v>
      </c>
      <c r="V9" s="701" t="s">
        <v>14</v>
      </c>
      <c r="W9" s="702">
        <f t="shared" si="2"/>
        <v>100</v>
      </c>
      <c r="X9" s="703"/>
      <c r="Y9" s="3589"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714"/>
      <c r="Q10" s="1343" t="str">
        <f t="shared" si="6"/>
        <v>土地使用年限（年）</v>
      </c>
      <c r="R10" s="701" t="s">
        <v>14</v>
      </c>
      <c r="S10" s="702">
        <f t="shared" si="0"/>
        <v>110</v>
      </c>
      <c r="T10" s="701" t="s">
        <v>14</v>
      </c>
      <c r="U10" s="702">
        <f t="shared" si="1"/>
        <v>110</v>
      </c>
      <c r="V10" s="701" t="s">
        <v>14</v>
      </c>
      <c r="W10" s="702">
        <f t="shared" si="2"/>
        <v>110</v>
      </c>
      <c r="X10" s="703"/>
      <c r="Y10" s="3589"/>
      <c r="Z10" s="52" t="str">
        <f t="shared" si="7"/>
        <v>土地使用年限（年）</v>
      </c>
      <c r="AA10" s="704">
        <f t="shared" si="3"/>
        <v>0.90909090909090906</v>
      </c>
      <c r="AB10" s="704">
        <f t="shared" si="4"/>
        <v>0.90909090909090906</v>
      </c>
      <c r="AC10" s="704">
        <f t="shared" si="5"/>
        <v>0.90909090909090906</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4"/>
      <c r="Q11" s="1343" t="str">
        <f t="shared" si="6"/>
        <v>容积率</v>
      </c>
      <c r="R11" s="701" t="s">
        <v>14</v>
      </c>
      <c r="S11" s="702" t="e">
        <f t="shared" si="0"/>
        <v>#N/A</v>
      </c>
      <c r="T11" s="701" t="s">
        <v>14</v>
      </c>
      <c r="U11" s="702" t="e">
        <f t="shared" si="1"/>
        <v>#N/A</v>
      </c>
      <c r="V11" s="701" t="s">
        <v>14</v>
      </c>
      <c r="W11" s="702" t="e">
        <f t="shared" si="2"/>
        <v>#N/A</v>
      </c>
      <c r="X11" s="703"/>
      <c r="Y11" s="3589"/>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4"/>
      <c r="Q12" s="1343" t="str">
        <f t="shared" si="6"/>
        <v>配建</v>
      </c>
      <c r="R12" s="701" t="s">
        <v>14</v>
      </c>
      <c r="S12" s="702">
        <f t="shared" si="0"/>
        <v>100</v>
      </c>
      <c r="T12" s="701" t="s">
        <v>14</v>
      </c>
      <c r="U12" s="702">
        <f t="shared" si="1"/>
        <v>100</v>
      </c>
      <c r="V12" s="701" t="s">
        <v>14</v>
      </c>
      <c r="W12" s="702">
        <f t="shared" si="2"/>
        <v>100</v>
      </c>
      <c r="X12" s="703"/>
      <c r="Y12" s="358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4"/>
      <c r="Q13" s="1343">
        <f t="shared" si="6"/>
        <v>111</v>
      </c>
      <c r="R13" s="701" t="s">
        <v>14</v>
      </c>
      <c r="S13" s="702">
        <f t="shared" si="0"/>
        <v>100</v>
      </c>
      <c r="T13" s="701" t="s">
        <v>14</v>
      </c>
      <c r="U13" s="702">
        <f t="shared" si="1"/>
        <v>100</v>
      </c>
      <c r="V13" s="701" t="s">
        <v>14</v>
      </c>
      <c r="W13" s="702">
        <f t="shared" si="2"/>
        <v>100</v>
      </c>
      <c r="X13" s="703"/>
      <c r="Y13" s="358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4"/>
      <c r="Q14" s="1343">
        <f t="shared" si="6"/>
        <v>111</v>
      </c>
      <c r="R14" s="701" t="s">
        <v>14</v>
      </c>
      <c r="S14" s="702">
        <f t="shared" si="0"/>
        <v>100</v>
      </c>
      <c r="T14" s="701" t="s">
        <v>14</v>
      </c>
      <c r="U14" s="702">
        <f t="shared" si="1"/>
        <v>100</v>
      </c>
      <c r="V14" s="701" t="s">
        <v>14</v>
      </c>
      <c r="W14" s="702">
        <f t="shared" si="2"/>
        <v>100</v>
      </c>
      <c r="X14" s="703"/>
      <c r="Y14" s="3589"/>
      <c r="Z14" s="52">
        <f t="shared" si="7"/>
        <v>111</v>
      </c>
      <c r="AA14" s="704">
        <f>D14/F14</f>
        <v>1</v>
      </c>
      <c r="AB14" s="704">
        <f>D14/H14</f>
        <v>1</v>
      </c>
      <c r="AC14" s="704">
        <f>D14/J14</f>
        <v>1</v>
      </c>
    </row>
    <row r="15" spans="1:30" ht="99.75">
      <c r="A15" s="391" t="s">
        <v>1687</v>
      </c>
      <c r="B15" s="61" t="s">
        <v>1254</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6" t="s">
        <v>1688</v>
      </c>
      <c r="Q15" s="1352" t="str">
        <f t="shared" si="6"/>
        <v>居住社区成熟度</v>
      </c>
      <c r="R15" s="705" t="s">
        <v>14</v>
      </c>
      <c r="S15" s="706">
        <f t="shared" si="0"/>
        <v>100</v>
      </c>
      <c r="T15" s="705" t="s">
        <v>14</v>
      </c>
      <c r="U15" s="706">
        <f t="shared" si="1"/>
        <v>100</v>
      </c>
      <c r="V15" s="705" t="s">
        <v>14</v>
      </c>
      <c r="W15" s="706">
        <f t="shared" si="2"/>
        <v>100</v>
      </c>
      <c r="X15" s="1355"/>
      <c r="Y15" s="3716"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7"/>
      <c r="Q16" s="1352"/>
      <c r="R16" s="705"/>
      <c r="S16" s="706"/>
      <c r="T16" s="705"/>
      <c r="U16" s="706"/>
      <c r="V16" s="705"/>
      <c r="W16" s="706"/>
      <c r="X16" s="1355"/>
      <c r="Y16" s="3717"/>
      <c r="Z16" s="1356"/>
      <c r="AA16" s="1353">
        <v>1</v>
      </c>
      <c r="AB16" s="1353">
        <v>1</v>
      </c>
      <c r="AC16" s="1353">
        <v>1</v>
      </c>
    </row>
    <row r="17" spans="1:29" ht="71.25">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7"/>
      <c r="Q17" s="1352" t="str">
        <f>B17</f>
        <v>商业繁华度</v>
      </c>
      <c r="R17" s="705" t="s">
        <v>14</v>
      </c>
      <c r="S17" s="706">
        <f>F17</f>
        <v>100</v>
      </c>
      <c r="T17" s="705" t="s">
        <v>14</v>
      </c>
      <c r="U17" s="706">
        <f>H17</f>
        <v>100</v>
      </c>
      <c r="V17" s="705" t="s">
        <v>14</v>
      </c>
      <c r="W17" s="706">
        <f>J17</f>
        <v>100</v>
      </c>
      <c r="X17" s="1355"/>
      <c r="Y17" s="371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7"/>
      <c r="Q18" s="1352"/>
      <c r="R18" s="705"/>
      <c r="S18" s="706"/>
      <c r="T18" s="705"/>
      <c r="U18" s="706"/>
      <c r="V18" s="705"/>
      <c r="W18" s="706"/>
      <c r="X18" s="1355"/>
      <c r="Y18" s="3717"/>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7"/>
      <c r="Q19" s="1352" t="str">
        <f>B19</f>
        <v>办公集聚程度</v>
      </c>
      <c r="R19" s="705" t="s">
        <v>14</v>
      </c>
      <c r="S19" s="706">
        <f>F19</f>
        <v>100</v>
      </c>
      <c r="T19" s="705" t="s">
        <v>14</v>
      </c>
      <c r="U19" s="706">
        <f>H19</f>
        <v>100</v>
      </c>
      <c r="V19" s="705" t="s">
        <v>14</v>
      </c>
      <c r="W19" s="706">
        <f>J19</f>
        <v>100</v>
      </c>
      <c r="X19" s="1355"/>
      <c r="Y19" s="371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7"/>
      <c r="Q20" s="1352"/>
      <c r="R20" s="705"/>
      <c r="S20" s="706"/>
      <c r="T20" s="705"/>
      <c r="U20" s="706"/>
      <c r="V20" s="705"/>
      <c r="W20" s="706"/>
      <c r="X20" s="1355"/>
      <c r="Y20" s="3717"/>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7"/>
      <c r="Q21" s="1352" t="str">
        <f>B21</f>
        <v>交通便捷度</v>
      </c>
      <c r="R21" s="705" t="s">
        <v>14</v>
      </c>
      <c r="S21" s="706">
        <f>F21</f>
        <v>100</v>
      </c>
      <c r="T21" s="705" t="s">
        <v>14</v>
      </c>
      <c r="U21" s="706">
        <f>H21</f>
        <v>100</v>
      </c>
      <c r="V21" s="705" t="s">
        <v>14</v>
      </c>
      <c r="W21" s="706">
        <f>J21</f>
        <v>100</v>
      </c>
      <c r="X21" s="1355"/>
      <c r="Y21" s="371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7"/>
      <c r="Q22" s="1352"/>
      <c r="R22" s="705"/>
      <c r="S22" s="706"/>
      <c r="T22" s="705"/>
      <c r="U22" s="706"/>
      <c r="V22" s="705"/>
      <c r="W22" s="706"/>
      <c r="X22" s="1355"/>
      <c r="Y22" s="3717"/>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7"/>
      <c r="Q23" s="1352" t="str">
        <f t="shared" ref="Q23:Q37" si="8">B23</f>
        <v>区域土地利用方向</v>
      </c>
      <c r="R23" s="705" t="s">
        <v>14</v>
      </c>
      <c r="S23" s="706">
        <f>F23</f>
        <v>100</v>
      </c>
      <c r="T23" s="705" t="s">
        <v>14</v>
      </c>
      <c r="U23" s="706">
        <f>H23</f>
        <v>100</v>
      </c>
      <c r="V23" s="705" t="s">
        <v>14</v>
      </c>
      <c r="W23" s="706">
        <f>J23</f>
        <v>100</v>
      </c>
      <c r="X23" s="1355"/>
      <c r="Y23" s="371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7"/>
      <c r="Q24" s="1352"/>
      <c r="R24" s="705"/>
      <c r="S24" s="706"/>
      <c r="T24" s="705"/>
      <c r="U24" s="706"/>
      <c r="V24" s="705"/>
      <c r="W24" s="706"/>
      <c r="X24" s="1355"/>
      <c r="Y24" s="3717"/>
      <c r="Z24" s="1356"/>
      <c r="AA24" s="1353"/>
      <c r="AB24" s="1353"/>
      <c r="AC24" s="1353"/>
    </row>
    <row r="25" spans="1:29" ht="57">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7"/>
      <c r="Q25" s="1352" t="str">
        <f t="shared" si="8"/>
        <v>自然及人文环境状况</v>
      </c>
      <c r="R25" s="705" t="s">
        <v>14</v>
      </c>
      <c r="S25" s="706">
        <f>F25</f>
        <v>100</v>
      </c>
      <c r="T25" s="705" t="s">
        <v>14</v>
      </c>
      <c r="U25" s="706">
        <f>H25</f>
        <v>100</v>
      </c>
      <c r="V25" s="705" t="s">
        <v>14</v>
      </c>
      <c r="W25" s="706">
        <f>J25</f>
        <v>100</v>
      </c>
      <c r="X25" s="1355"/>
      <c r="Y25" s="371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7"/>
      <c r="Q26" s="1352"/>
      <c r="R26" s="705"/>
      <c r="S26" s="706"/>
      <c r="T26" s="705"/>
      <c r="U26" s="706"/>
      <c r="V26" s="705"/>
      <c r="W26" s="706"/>
      <c r="X26" s="1355"/>
      <c r="Y26" s="3717"/>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7"/>
      <c r="Q27" s="1343" t="str">
        <f t="shared" si="8"/>
        <v>公共配套设施</v>
      </c>
      <c r="R27" s="701" t="s">
        <v>14</v>
      </c>
      <c r="S27" s="702">
        <f>F27</f>
        <v>100</v>
      </c>
      <c r="T27" s="701" t="s">
        <v>14</v>
      </c>
      <c r="U27" s="702">
        <f>H27</f>
        <v>100</v>
      </c>
      <c r="V27" s="701" t="s">
        <v>14</v>
      </c>
      <c r="W27" s="702">
        <f>J27</f>
        <v>100</v>
      </c>
      <c r="X27" s="703"/>
      <c r="Y27" s="371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17"/>
      <c r="Q28" s="1343"/>
      <c r="R28" s="701"/>
      <c r="S28" s="702"/>
      <c r="T28" s="701"/>
      <c r="U28" s="702"/>
      <c r="V28" s="701"/>
      <c r="W28" s="702"/>
      <c r="X28" s="703"/>
      <c r="Y28" s="3717"/>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7"/>
      <c r="Q29" s="1343" t="str">
        <f t="shared" ref="Q29" si="9">B29</f>
        <v>基础设施水平</v>
      </c>
      <c r="R29" s="701" t="s">
        <v>14</v>
      </c>
      <c r="S29" s="702">
        <f>F29</f>
        <v>100</v>
      </c>
      <c r="T29" s="701" t="s">
        <v>14</v>
      </c>
      <c r="U29" s="702">
        <f>H29</f>
        <v>100</v>
      </c>
      <c r="V29" s="701" t="s">
        <v>14</v>
      </c>
      <c r="W29" s="702">
        <f>J29</f>
        <v>100</v>
      </c>
      <c r="X29" s="703"/>
      <c r="Y29" s="371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17"/>
      <c r="Q30" s="1343"/>
      <c r="R30" s="701"/>
      <c r="S30" s="702"/>
      <c r="T30" s="701"/>
      <c r="U30" s="702"/>
      <c r="V30" s="701"/>
      <c r="W30" s="702"/>
      <c r="X30" s="703"/>
      <c r="Y30" s="3717"/>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7"/>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7"/>
      <c r="Q32" s="1352" t="str">
        <f t="shared" si="8"/>
        <v>毗邻道路的类型与等级</v>
      </c>
      <c r="R32" s="705" t="s">
        <v>14</v>
      </c>
      <c r="S32" s="706">
        <f t="shared" si="10"/>
        <v>100</v>
      </c>
      <c r="T32" s="705" t="s">
        <v>14</v>
      </c>
      <c r="U32" s="706">
        <f t="shared" si="11"/>
        <v>100</v>
      </c>
      <c r="V32" s="705" t="s">
        <v>14</v>
      </c>
      <c r="W32" s="706">
        <f t="shared" si="12"/>
        <v>100</v>
      </c>
      <c r="X32" s="1355"/>
      <c r="Y32" s="371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7"/>
      <c r="Q33" s="1352"/>
      <c r="R33" s="705"/>
      <c r="S33" s="706"/>
      <c r="T33" s="705"/>
      <c r="U33" s="706"/>
      <c r="V33" s="705"/>
      <c r="W33" s="706"/>
      <c r="X33" s="1355"/>
      <c r="Y33" s="3717"/>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7"/>
      <c r="Q34" s="1352" t="str">
        <f t="shared" si="8"/>
        <v>土地级别</v>
      </c>
      <c r="R34" s="705" t="s">
        <v>14</v>
      </c>
      <c r="S34" s="706">
        <f t="shared" si="10"/>
        <v>100</v>
      </c>
      <c r="T34" s="705" t="s">
        <v>14</v>
      </c>
      <c r="U34" s="706">
        <f t="shared" si="11"/>
        <v>100</v>
      </c>
      <c r="V34" s="705" t="s">
        <v>14</v>
      </c>
      <c r="W34" s="706">
        <f t="shared" si="12"/>
        <v>100</v>
      </c>
      <c r="X34" s="1355"/>
      <c r="Y34" s="371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7"/>
      <c r="Q35" s="1352">
        <f t="shared" si="8"/>
        <v>111</v>
      </c>
      <c r="R35" s="705" t="s">
        <v>14</v>
      </c>
      <c r="S35" s="706">
        <f t="shared" si="10"/>
        <v>100</v>
      </c>
      <c r="T35" s="705" t="s">
        <v>14</v>
      </c>
      <c r="U35" s="706">
        <f t="shared" si="11"/>
        <v>100</v>
      </c>
      <c r="V35" s="705" t="s">
        <v>14</v>
      </c>
      <c r="W35" s="706">
        <f t="shared" si="12"/>
        <v>100</v>
      </c>
      <c r="X35" s="1355"/>
      <c r="Y35" s="371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73" t="s">
        <v>1693</v>
      </c>
      <c r="Q36" s="1352">
        <f t="shared" si="8"/>
        <v>111</v>
      </c>
      <c r="R36" s="705" t="s">
        <v>14</v>
      </c>
      <c r="S36" s="706">
        <f t="shared" si="10"/>
        <v>100</v>
      </c>
      <c r="T36" s="705" t="s">
        <v>14</v>
      </c>
      <c r="U36" s="706">
        <f t="shared" si="11"/>
        <v>100</v>
      </c>
      <c r="V36" s="705" t="s">
        <v>14</v>
      </c>
      <c r="W36" s="706">
        <f t="shared" si="12"/>
        <v>100</v>
      </c>
      <c r="X36" s="1355"/>
      <c r="Y36" s="3721"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1"/>
      <c r="Q37" s="1352">
        <f t="shared" si="8"/>
        <v>111</v>
      </c>
      <c r="R37" s="708" t="s">
        <v>14</v>
      </c>
      <c r="S37" s="709">
        <f t="shared" si="10"/>
        <v>100</v>
      </c>
      <c r="T37" s="708" t="s">
        <v>14</v>
      </c>
      <c r="U37" s="709">
        <f t="shared" si="11"/>
        <v>100</v>
      </c>
      <c r="V37" s="708" t="s">
        <v>14</v>
      </c>
      <c r="W37" s="709">
        <f t="shared" si="12"/>
        <v>100</v>
      </c>
      <c r="X37" s="710"/>
      <c r="Y37" s="3721"/>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21"/>
      <c r="Q38" s="1352" t="str">
        <f>B38</f>
        <v>宗地面积</v>
      </c>
      <c r="R38" s="705" t="s">
        <v>14</v>
      </c>
      <c r="S38" s="706" t="e">
        <f t="shared" si="10"/>
        <v>#N/A</v>
      </c>
      <c r="T38" s="705" t="s">
        <v>14</v>
      </c>
      <c r="U38" s="706" t="e">
        <f t="shared" si="11"/>
        <v>#N/A</v>
      </c>
      <c r="V38" s="705" t="s">
        <v>14</v>
      </c>
      <c r="W38" s="706" t="e">
        <f t="shared" si="12"/>
        <v>#N/A</v>
      </c>
      <c r="X38" s="1355"/>
      <c r="Y38" s="3721"/>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21"/>
      <c r="Q39" s="1352" t="str">
        <f t="shared" ref="Q39:Q45" si="14">B39</f>
        <v>宗地形状</v>
      </c>
      <c r="R39" s="705" t="s">
        <v>14</v>
      </c>
      <c r="S39" s="706">
        <f t="shared" si="10"/>
        <v>100</v>
      </c>
      <c r="T39" s="705" t="s">
        <v>14</v>
      </c>
      <c r="U39" s="706">
        <f t="shared" si="11"/>
        <v>100</v>
      </c>
      <c r="V39" s="705" t="s">
        <v>14</v>
      </c>
      <c r="W39" s="706">
        <f t="shared" si="12"/>
        <v>100</v>
      </c>
      <c r="X39" s="1355"/>
      <c r="Y39" s="3721"/>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21"/>
      <c r="Q40" s="1352" t="str">
        <f t="shared" si="14"/>
        <v>临街宽度及深度</v>
      </c>
      <c r="R40" s="705" t="s">
        <v>14</v>
      </c>
      <c r="S40" s="706">
        <f t="shared" si="10"/>
        <v>100</v>
      </c>
      <c r="T40" s="705" t="s">
        <v>14</v>
      </c>
      <c r="U40" s="706">
        <f t="shared" si="11"/>
        <v>100</v>
      </c>
      <c r="V40" s="705" t="s">
        <v>14</v>
      </c>
      <c r="W40" s="706">
        <f t="shared" si="12"/>
        <v>100</v>
      </c>
      <c r="X40" s="1355"/>
      <c r="Y40" s="3721"/>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21"/>
      <c r="Q41" s="1352" t="str">
        <f t="shared" si="14"/>
        <v>宗地开发程度</v>
      </c>
      <c r="R41" s="701" t="s">
        <v>14</v>
      </c>
      <c r="S41" s="702">
        <f t="shared" si="10"/>
        <v>100</v>
      </c>
      <c r="T41" s="701" t="s">
        <v>14</v>
      </c>
      <c r="U41" s="702">
        <f t="shared" si="11"/>
        <v>100</v>
      </c>
      <c r="V41" s="701" t="s">
        <v>14</v>
      </c>
      <c r="W41" s="702">
        <f t="shared" si="12"/>
        <v>100</v>
      </c>
      <c r="X41" s="703"/>
      <c r="Y41" s="3721"/>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21" t="s">
        <v>1693</v>
      </c>
      <c r="Q42" s="1352" t="str">
        <f t="shared" si="14"/>
        <v>工程地质条件</v>
      </c>
      <c r="R42" s="705" t="s">
        <v>14</v>
      </c>
      <c r="S42" s="706">
        <f t="shared" si="10"/>
        <v>100</v>
      </c>
      <c r="T42" s="705" t="s">
        <v>14</v>
      </c>
      <c r="U42" s="706">
        <f t="shared" si="11"/>
        <v>100</v>
      </c>
      <c r="V42" s="705" t="s">
        <v>14</v>
      </c>
      <c r="W42" s="706">
        <f t="shared" si="12"/>
        <v>100</v>
      </c>
      <c r="X42" s="1355"/>
      <c r="Y42" s="3721"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1"/>
      <c r="Q43" s="1352">
        <f t="shared" si="14"/>
        <v>111</v>
      </c>
      <c r="R43" s="705" t="s">
        <v>14</v>
      </c>
      <c r="S43" s="706">
        <f t="shared" si="10"/>
        <v>100</v>
      </c>
      <c r="T43" s="705" t="s">
        <v>14</v>
      </c>
      <c r="U43" s="706">
        <f t="shared" si="11"/>
        <v>100</v>
      </c>
      <c r="V43" s="705" t="s">
        <v>14</v>
      </c>
      <c r="W43" s="706">
        <f t="shared" si="12"/>
        <v>100</v>
      </c>
      <c r="X43" s="1355"/>
      <c r="Y43" s="372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1"/>
      <c r="Q44" s="1352">
        <f t="shared" si="14"/>
        <v>111</v>
      </c>
      <c r="R44" s="705" t="s">
        <v>14</v>
      </c>
      <c r="S44" s="706">
        <f t="shared" si="10"/>
        <v>100</v>
      </c>
      <c r="T44" s="705" t="s">
        <v>14</v>
      </c>
      <c r="U44" s="706">
        <f t="shared" si="11"/>
        <v>100</v>
      </c>
      <c r="V44" s="705" t="s">
        <v>14</v>
      </c>
      <c r="W44" s="706">
        <f t="shared" si="12"/>
        <v>100</v>
      </c>
      <c r="X44" s="1355"/>
      <c r="Y44" s="372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1"/>
      <c r="Q45" s="1352">
        <f t="shared" si="14"/>
        <v>111</v>
      </c>
      <c r="R45" s="708" t="s">
        <v>14</v>
      </c>
      <c r="S45" s="709">
        <f t="shared" si="10"/>
        <v>100</v>
      </c>
      <c r="T45" s="708" t="s">
        <v>14</v>
      </c>
      <c r="U45" s="709">
        <f t="shared" si="11"/>
        <v>100</v>
      </c>
      <c r="V45" s="708" t="s">
        <v>14</v>
      </c>
      <c r="W45" s="709">
        <f t="shared" si="12"/>
        <v>100</v>
      </c>
      <c r="X45" s="710"/>
      <c r="Y45" s="3721"/>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23"/>
      <c r="M46" s="2724"/>
      <c r="N46" s="2715"/>
      <c r="O46" s="2724"/>
      <c r="P46" s="3714" t="str">
        <f>A46</f>
        <v>成交单价</v>
      </c>
      <c r="Q46" s="3714"/>
      <c r="R46" s="3745">
        <f>E46</f>
        <v>0</v>
      </c>
      <c r="S46" s="3745"/>
      <c r="T46" s="3745">
        <f>G46</f>
        <v>0</v>
      </c>
      <c r="U46" s="3745"/>
      <c r="V46" s="3745">
        <f>I46</f>
        <v>0</v>
      </c>
      <c r="W46" s="3745"/>
      <c r="X46" s="690"/>
      <c r="Y46" s="712"/>
      <c r="Z46" s="690"/>
      <c r="AA46" s="690"/>
      <c r="AB46" s="690"/>
      <c r="AC46" s="690"/>
    </row>
    <row r="47" spans="1:29" ht="15.75" thickBot="1">
      <c r="A47" s="437" t="s">
        <v>1790</v>
      </c>
      <c r="B47" s="631"/>
      <c r="C47" s="440" t="e">
        <f>R48</f>
        <v>#DIV/0!</v>
      </c>
      <c r="D47" s="2317" t="s">
        <v>2134</v>
      </c>
      <c r="E47" s="440" t="e">
        <f>R47</f>
        <v>#DIV/0!</v>
      </c>
      <c r="F47" s="2318"/>
      <c r="G47" s="439" t="e">
        <f>T47</f>
        <v>#DIV/0!</v>
      </c>
      <c r="H47" s="2318"/>
      <c r="I47" s="440" t="e">
        <f>V47</f>
        <v>#DIV/0!</v>
      </c>
      <c r="J47" s="2318"/>
      <c r="K47" s="2320">
        <f>F47+H47+J47</f>
        <v>0</v>
      </c>
      <c r="L47" s="2723"/>
      <c r="M47" s="2724"/>
      <c r="N47" s="2724"/>
      <c r="O47" s="2724"/>
      <c r="P47" s="3714" t="str">
        <f>A47</f>
        <v>比较价值（元/平方米）</v>
      </c>
      <c r="Q47" s="3714"/>
      <c r="R47" s="3775" t="e">
        <f>ROUND(PRODUCT(R46,AA7:AA45),0)</f>
        <v>#DIV/0!</v>
      </c>
      <c r="S47" s="3775"/>
      <c r="T47" s="3775" t="e">
        <f>ROUND(PRODUCT(T46,AB7:AB45),0)</f>
        <v>#DIV/0!</v>
      </c>
      <c r="U47" s="3775"/>
      <c r="V47" s="3775" t="e">
        <f>ROUND(PRODUCT(V46,AC7:AC45),0)</f>
        <v>#DIV/0!</v>
      </c>
      <c r="W47" s="3775"/>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3"/>
      <c r="M48" s="2724"/>
      <c r="N48" s="2724"/>
      <c r="O48" s="2724"/>
      <c r="P48" s="3711" t="str">
        <f>A48</f>
        <v>估价对象XX用房的比较价值（楼面单价，元/平方米）</v>
      </c>
      <c r="Q48" s="3712"/>
      <c r="R48" s="3776" t="e">
        <f>ROUND(IF(D47="简单平均",AVERAGE(R47:W47),R47*F47+T47*H47+V47*J47),0)</f>
        <v>#DIV/0!</v>
      </c>
      <c r="S48" s="3776"/>
      <c r="T48" s="3776"/>
      <c r="U48" s="3776"/>
      <c r="V48" s="3776"/>
      <c r="W48" s="377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1878</v>
      </c>
      <c r="B55" s="633" t="s">
        <v>1879</v>
      </c>
      <c r="C55" s="1983" t="s">
        <v>1880</v>
      </c>
      <c r="D55" s="1984" t="s">
        <v>1881</v>
      </c>
      <c r="E55" s="634" t="s">
        <v>1882</v>
      </c>
      <c r="F55" s="890" t="s">
        <v>1883</v>
      </c>
      <c r="G55" s="3729" t="s">
        <v>1884</v>
      </c>
      <c r="H55" s="3777"/>
      <c r="I55" s="135" t="s">
        <v>1885</v>
      </c>
      <c r="J55" s="1985">
        <f>项目基本情况!F35</f>
        <v>0</v>
      </c>
      <c r="K55" s="1986" t="s">
        <v>1886</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1887</v>
      </c>
      <c r="B56" s="637" t="e">
        <f>C48</f>
        <v>#DIV/0!</v>
      </c>
      <c r="C56" s="638">
        <v>1</v>
      </c>
      <c r="D56" s="944">
        <v>1</v>
      </c>
      <c r="E56" s="638">
        <f>'数据-汇总表'!E8+'数据-汇总表'!E9</f>
        <v>139.07999999999998</v>
      </c>
      <c r="F56" s="886" t="e">
        <f t="shared" ref="F56:F64" si="15">ROUND(B56*E56/10000,0)</f>
        <v>#DIV/0!</v>
      </c>
      <c r="G56" s="3725"/>
      <c r="H56" s="371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1888</v>
      </c>
      <c r="B57" s="218" t="e">
        <f>ROUND($C$48*C57*D57,0)</f>
        <v>#DIV/0!</v>
      </c>
      <c r="C57" s="171">
        <f t="shared" ref="C57:C64" si="16">IF($C$55="北京市系数",I57,J57)</f>
        <v>0</v>
      </c>
      <c r="D57" s="945">
        <v>0.25</v>
      </c>
      <c r="E57" s="642"/>
      <c r="F57" s="886" t="e">
        <f t="shared" si="15"/>
        <v>#DIV/0!</v>
      </c>
      <c r="G57" s="3005" t="s">
        <v>1889</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1890</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1891</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1898</v>
      </c>
      <c r="B63" s="218" t="e">
        <f t="shared" si="17"/>
        <v>#DIV/0!</v>
      </c>
      <c r="C63" s="171">
        <f t="shared" si="16"/>
        <v>0</v>
      </c>
      <c r="D63" s="945">
        <v>0.25</v>
      </c>
      <c r="E63" s="217">
        <f>'数据-汇总表'!E14</f>
        <v>0</v>
      </c>
      <c r="F63" s="886" t="e">
        <f t="shared" si="15"/>
        <v>#DIV/0!</v>
      </c>
      <c r="G63" s="1987" t="s">
        <v>1889</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1900</v>
      </c>
      <c r="B65" s="644" t="s">
        <v>22</v>
      </c>
      <c r="C65" s="644" t="s">
        <v>23</v>
      </c>
      <c r="D65" s="644" t="s">
        <v>392</v>
      </c>
      <c r="E65" s="644">
        <f>IF(B46="楼面地价",SUM(E56:E64),'数据-汇总表'!D3)</f>
        <v>139.07999999999998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4"/>
      <c r="Q67" s="2724"/>
      <c r="R67" s="2724"/>
      <c r="S67" s="2724"/>
      <c r="T67" s="2724"/>
      <c r="U67" s="2724"/>
      <c r="V67" s="2724"/>
      <c r="W67" s="2724"/>
      <c r="X67" s="2724"/>
      <c r="Y67" s="2724"/>
      <c r="Z67" s="2724"/>
      <c r="AA67" s="2724"/>
      <c r="AB67" s="2724"/>
      <c r="AC67" s="2724"/>
    </row>
    <row r="68" spans="1:29" ht="21.75" thickBot="1">
      <c r="A68" s="694" t="s">
        <v>1795</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1901</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1713</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1678</v>
      </c>
      <c r="B72" s="459"/>
      <c r="C72" s="471" t="s">
        <v>1773</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1716</v>
      </c>
      <c r="B74" s="477" t="s">
        <v>1682</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1685</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1687</v>
      </c>
      <c r="B87" s="477" t="s">
        <v>1717</v>
      </c>
      <c r="C87" s="522" t="s">
        <v>1718</v>
      </c>
      <c r="D87" s="522" t="s">
        <v>1719</v>
      </c>
      <c r="E87" s="522" t="s">
        <v>1720</v>
      </c>
      <c r="F87" s="522" t="s">
        <v>1721</v>
      </c>
      <c r="G87" s="522" t="s">
        <v>1722</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1903</v>
      </c>
      <c r="C89" s="527" t="s">
        <v>1718</v>
      </c>
      <c r="D89" s="527" t="s">
        <v>1719</v>
      </c>
      <c r="E89" s="527" t="s">
        <v>1720</v>
      </c>
      <c r="F89" s="527" t="s">
        <v>1721</v>
      </c>
      <c r="G89" s="527" t="s">
        <v>1722</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1818</v>
      </c>
      <c r="C91" s="527" t="s">
        <v>1718</v>
      </c>
      <c r="D91" s="527" t="s">
        <v>1719</v>
      </c>
      <c r="E91" s="527" t="s">
        <v>1720</v>
      </c>
      <c r="F91" s="527" t="s">
        <v>1721</v>
      </c>
      <c r="G91" s="527" t="s">
        <v>1722</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1723</v>
      </c>
      <c r="C93" s="527" t="s">
        <v>1718</v>
      </c>
      <c r="D93" s="527" t="s">
        <v>1719</v>
      </c>
      <c r="E93" s="527" t="s">
        <v>1720</v>
      </c>
      <c r="F93" s="527" t="s">
        <v>1721</v>
      </c>
      <c r="G93" s="527" t="s">
        <v>1722</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1812</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1870</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1911</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1912</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1913</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1914</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7" priority="18" stopIfTrue="1" operator="containsText" text="超过">
      <formula>NOT(ISERROR(SEARCH("超过",F51)))</formula>
    </cfRule>
  </conditionalFormatting>
  <conditionalFormatting sqref="J53">
    <cfRule type="containsText" dxfId="76" priority="17" stopIfTrue="1" operator="containsText" text="超过">
      <formula>NOT(ISERROR(SEARCH("超过",J53)))</formula>
    </cfRule>
  </conditionalFormatting>
  <conditionalFormatting sqref="H53">
    <cfRule type="containsText" dxfId="75" priority="16" stopIfTrue="1" operator="containsText" text="超过">
      <formula>NOT(ISERROR(SEARCH("超过",H53)))</formula>
    </cfRule>
  </conditionalFormatting>
  <conditionalFormatting sqref="F53">
    <cfRule type="containsText" dxfId="74" priority="15" stopIfTrue="1" operator="containsText" text="超过">
      <formula>NOT(ISERROR(SEARCH("超过",F53)))</formula>
    </cfRule>
  </conditionalFormatting>
  <conditionalFormatting sqref="F52 H52 J52">
    <cfRule type="containsText" dxfId="73" priority="14" stopIfTrue="1" operator="containsText" text="超过">
      <formula>NOT(ISERROR(SEARCH("超过",F52)))</formula>
    </cfRule>
  </conditionalFormatting>
  <conditionalFormatting sqref="E51">
    <cfRule type="expression" dxfId="72" priority="13" stopIfTrue="1">
      <formula>$F$51="超过30%"</formula>
    </cfRule>
  </conditionalFormatting>
  <conditionalFormatting sqref="G53">
    <cfRule type="expression" dxfId="71" priority="12" stopIfTrue="1">
      <formula>$H$53="超过30%"</formula>
    </cfRule>
  </conditionalFormatting>
  <conditionalFormatting sqref="E52">
    <cfRule type="expression" dxfId="70" priority="11" stopIfTrue="1">
      <formula>$F$52="超过20%"</formula>
    </cfRule>
  </conditionalFormatting>
  <conditionalFormatting sqref="E53">
    <cfRule type="expression" dxfId="69" priority="10" stopIfTrue="1">
      <formula>$F$53="超过30%"</formula>
    </cfRule>
  </conditionalFormatting>
  <conditionalFormatting sqref="G51">
    <cfRule type="expression" dxfId="68" priority="9" stopIfTrue="1">
      <formula>$H$53+$H$51="超过30%"</formula>
    </cfRule>
  </conditionalFormatting>
  <conditionalFormatting sqref="G52">
    <cfRule type="expression" dxfId="67" priority="8" stopIfTrue="1">
      <formula>$H$52="超过20%"</formula>
    </cfRule>
  </conditionalFormatting>
  <conditionalFormatting sqref="I51">
    <cfRule type="expression" dxfId="66" priority="7" stopIfTrue="1">
      <formula>$J$51="超过30%"</formula>
    </cfRule>
  </conditionalFormatting>
  <conditionalFormatting sqref="I52">
    <cfRule type="expression" dxfId="65" priority="6" stopIfTrue="1">
      <formula>$J$52="超过20%"</formula>
    </cfRule>
  </conditionalFormatting>
  <conditionalFormatting sqref="I53">
    <cfRule type="expression" dxfId="64" priority="5" stopIfTrue="1">
      <formula>$J$53="超过30%"</formula>
    </cfRule>
  </conditionalFormatting>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F7:F45 H7:H45 J7:J45">
    <cfRule type="cellIs" dxfId="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1766</v>
      </c>
      <c r="B4" s="356"/>
      <c r="C4" s="3729" t="s">
        <v>1767</v>
      </c>
      <c r="D4" s="3730"/>
      <c r="E4" s="3731" t="s">
        <v>1768</v>
      </c>
      <c r="F4" s="3732"/>
      <c r="G4" s="3729" t="s">
        <v>1769</v>
      </c>
      <c r="H4" s="3730"/>
      <c r="I4" s="3729" t="s">
        <v>1770</v>
      </c>
      <c r="J4" s="3730"/>
      <c r="K4" s="559" t="s">
        <v>1771</v>
      </c>
      <c r="L4" s="2714"/>
      <c r="M4" s="2715"/>
      <c r="N4" s="2715"/>
      <c r="O4" s="2715"/>
      <c r="P4" s="3733" t="s">
        <v>1772</v>
      </c>
      <c r="Q4" s="3734"/>
      <c r="R4" s="3739" t="s">
        <v>1768</v>
      </c>
      <c r="S4" s="3740"/>
      <c r="T4" s="3739" t="s">
        <v>1769</v>
      </c>
      <c r="U4" s="3740"/>
      <c r="V4" s="3745" t="s">
        <v>1770</v>
      </c>
      <c r="W4" s="3745"/>
      <c r="X4" s="1355"/>
      <c r="Y4" s="3739" t="s">
        <v>1772</v>
      </c>
      <c r="Z4" s="3740"/>
      <c r="AA4" s="3726" t="s">
        <v>1768</v>
      </c>
      <c r="AB4" s="3727" t="s">
        <v>1769</v>
      </c>
      <c r="AC4" s="3726" t="s">
        <v>1770</v>
      </c>
    </row>
    <row r="5" spans="1:29" ht="15">
      <c r="A5" s="358"/>
      <c r="B5" s="359"/>
      <c r="C5" s="3748" t="s">
        <v>1670</v>
      </c>
      <c r="D5" s="3749"/>
      <c r="E5" s="3755" t="s">
        <v>1671</v>
      </c>
      <c r="F5" s="3756"/>
      <c r="G5" s="3748" t="s">
        <v>1672</v>
      </c>
      <c r="H5" s="3749"/>
      <c r="I5" s="3748" t="s">
        <v>1673</v>
      </c>
      <c r="J5" s="3749"/>
      <c r="K5" s="559"/>
      <c r="L5" s="2714"/>
      <c r="M5" s="2715"/>
      <c r="N5" s="2715"/>
      <c r="O5" s="2715"/>
      <c r="P5" s="3735"/>
      <c r="Q5" s="3736"/>
      <c r="R5" s="3741"/>
      <c r="S5" s="3742"/>
      <c r="T5" s="3741"/>
      <c r="U5" s="3742"/>
      <c r="V5" s="3745"/>
      <c r="W5" s="3745"/>
      <c r="X5" s="1355"/>
      <c r="Y5" s="3741"/>
      <c r="Z5" s="3742"/>
      <c r="AA5" s="3727"/>
      <c r="AB5" s="3727"/>
      <c r="AC5" s="3727"/>
    </row>
    <row r="6" spans="1:29" ht="15.75" thickBot="1">
      <c r="A6" s="360"/>
      <c r="B6" s="361"/>
      <c r="C6" s="3778" t="s">
        <v>1916</v>
      </c>
      <c r="D6" s="3779"/>
      <c r="E6" s="3780" t="s">
        <v>1916</v>
      </c>
      <c r="F6" s="3781"/>
      <c r="G6" s="3778" t="s">
        <v>1916</v>
      </c>
      <c r="H6" s="3779"/>
      <c r="I6" s="3778" t="s">
        <v>1916</v>
      </c>
      <c r="J6" s="3779"/>
      <c r="K6" s="559" t="s">
        <v>1675</v>
      </c>
      <c r="L6" s="2714"/>
      <c r="M6" s="2715"/>
      <c r="N6" s="2715"/>
      <c r="O6" s="2715"/>
      <c r="P6" s="3737"/>
      <c r="Q6" s="3738"/>
      <c r="R6" s="3741"/>
      <c r="S6" s="3742"/>
      <c r="T6" s="3743"/>
      <c r="U6" s="3744"/>
      <c r="V6" s="3745"/>
      <c r="W6" s="3745"/>
      <c r="X6" s="1355"/>
      <c r="Y6" s="3743"/>
      <c r="Z6" s="3744"/>
      <c r="AA6" s="3728"/>
      <c r="AB6" s="3728"/>
      <c r="AC6" s="3728"/>
    </row>
    <row r="7" spans="1:29" s="108" customFormat="1" ht="15.75" thickBot="1">
      <c r="A7" s="362" t="s">
        <v>1676</v>
      </c>
      <c r="B7" s="363"/>
      <c r="C7" s="364">
        <f>'数据-取费表'!B2</f>
        <v>45405</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50" t="s">
        <v>1677</v>
      </c>
      <c r="Q7" s="3752"/>
      <c r="R7" s="701" t="s">
        <v>14</v>
      </c>
      <c r="S7" s="702">
        <f t="shared" ref="S7:S15" si="0">F7</f>
        <v>0</v>
      </c>
      <c r="T7" s="701" t="s">
        <v>14</v>
      </c>
      <c r="U7" s="702">
        <f t="shared" ref="U7:U15" si="1">H7</f>
        <v>0</v>
      </c>
      <c r="V7" s="701" t="s">
        <v>14</v>
      </c>
      <c r="W7" s="702">
        <f t="shared" ref="W7:W15" si="2">J7</f>
        <v>0</v>
      </c>
      <c r="X7" s="703"/>
      <c r="Y7" s="3750" t="s">
        <v>1677</v>
      </c>
      <c r="Z7" s="3751"/>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50" t="s">
        <v>1680</v>
      </c>
      <c r="Q8" s="3751"/>
      <c r="R8" s="701" t="s">
        <v>14</v>
      </c>
      <c r="S8" s="702">
        <f t="shared" si="0"/>
        <v>0</v>
      </c>
      <c r="T8" s="701" t="s">
        <v>14</v>
      </c>
      <c r="U8" s="702">
        <f t="shared" si="1"/>
        <v>0</v>
      </c>
      <c r="V8" s="701" t="s">
        <v>14</v>
      </c>
      <c r="W8" s="702">
        <f t="shared" si="2"/>
        <v>0</v>
      </c>
      <c r="X8" s="703"/>
      <c r="Y8" s="3750" t="s">
        <v>1680</v>
      </c>
      <c r="Z8" s="3751"/>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14" t="s">
        <v>1683</v>
      </c>
      <c r="Q9" s="1343" t="str">
        <f t="shared" ref="Q9:Q15" si="6">B9</f>
        <v>用途</v>
      </c>
      <c r="R9" s="701" t="s">
        <v>14</v>
      </c>
      <c r="S9" s="702">
        <f t="shared" si="0"/>
        <v>100</v>
      </c>
      <c r="T9" s="701" t="s">
        <v>14</v>
      </c>
      <c r="U9" s="702">
        <f t="shared" si="1"/>
        <v>100</v>
      </c>
      <c r="V9" s="701" t="s">
        <v>14</v>
      </c>
      <c r="W9" s="702">
        <f t="shared" si="2"/>
        <v>100</v>
      </c>
      <c r="X9" s="703"/>
      <c r="Y9" s="3589"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714"/>
      <c r="Q10" s="1343" t="str">
        <f t="shared" si="6"/>
        <v>土地使用年限（年）</v>
      </c>
      <c r="R10" s="701" t="s">
        <v>14</v>
      </c>
      <c r="S10" s="702">
        <f t="shared" si="0"/>
        <v>110</v>
      </c>
      <c r="T10" s="701" t="s">
        <v>14</v>
      </c>
      <c r="U10" s="702">
        <f t="shared" si="1"/>
        <v>110</v>
      </c>
      <c r="V10" s="701" t="s">
        <v>14</v>
      </c>
      <c r="W10" s="702">
        <f t="shared" si="2"/>
        <v>110</v>
      </c>
      <c r="X10" s="703"/>
      <c r="Y10" s="3589"/>
      <c r="Z10" s="52" t="str">
        <f t="shared" si="7"/>
        <v>土地使用年限（年）</v>
      </c>
      <c r="AA10" s="704">
        <f t="shared" si="3"/>
        <v>0.90909090909090906</v>
      </c>
      <c r="AB10" s="704">
        <f t="shared" si="4"/>
        <v>0.90909090909090906</v>
      </c>
      <c r="AC10" s="704">
        <f t="shared" si="5"/>
        <v>0.90909090909090906</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4"/>
      <c r="Q11" s="1343" t="str">
        <f t="shared" si="6"/>
        <v>容积率</v>
      </c>
      <c r="R11" s="701" t="s">
        <v>14</v>
      </c>
      <c r="S11" s="702" t="e">
        <f t="shared" si="0"/>
        <v>#N/A</v>
      </c>
      <c r="T11" s="701" t="s">
        <v>14</v>
      </c>
      <c r="U11" s="702" t="e">
        <f t="shared" si="1"/>
        <v>#N/A</v>
      </c>
      <c r="V11" s="701" t="s">
        <v>14</v>
      </c>
      <c r="W11" s="702" t="e">
        <f t="shared" si="2"/>
        <v>#N/A</v>
      </c>
      <c r="X11" s="703"/>
      <c r="Y11" s="358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4"/>
      <c r="Q12" s="1343">
        <f t="shared" si="6"/>
        <v>111</v>
      </c>
      <c r="R12" s="701" t="s">
        <v>14</v>
      </c>
      <c r="S12" s="702">
        <f t="shared" si="0"/>
        <v>100</v>
      </c>
      <c r="T12" s="701" t="s">
        <v>14</v>
      </c>
      <c r="U12" s="702">
        <f t="shared" si="1"/>
        <v>100</v>
      </c>
      <c r="V12" s="701" t="s">
        <v>14</v>
      </c>
      <c r="W12" s="702">
        <f t="shared" si="2"/>
        <v>100</v>
      </c>
      <c r="X12" s="703"/>
      <c r="Y12" s="358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4"/>
      <c r="Q13" s="1343">
        <f t="shared" si="6"/>
        <v>111</v>
      </c>
      <c r="R13" s="701" t="s">
        <v>14</v>
      </c>
      <c r="S13" s="702">
        <f t="shared" si="0"/>
        <v>100</v>
      </c>
      <c r="T13" s="701" t="s">
        <v>14</v>
      </c>
      <c r="U13" s="702">
        <f t="shared" si="1"/>
        <v>100</v>
      </c>
      <c r="V13" s="701" t="s">
        <v>14</v>
      </c>
      <c r="W13" s="702">
        <f t="shared" si="2"/>
        <v>100</v>
      </c>
      <c r="X13" s="703"/>
      <c r="Y13" s="358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4"/>
      <c r="Q14" s="1343">
        <f t="shared" si="6"/>
        <v>111</v>
      </c>
      <c r="R14" s="701" t="s">
        <v>14</v>
      </c>
      <c r="S14" s="702">
        <f t="shared" si="0"/>
        <v>100</v>
      </c>
      <c r="T14" s="701" t="s">
        <v>14</v>
      </c>
      <c r="U14" s="702">
        <f t="shared" si="1"/>
        <v>100</v>
      </c>
      <c r="V14" s="701" t="s">
        <v>14</v>
      </c>
      <c r="W14" s="702">
        <f t="shared" si="2"/>
        <v>100</v>
      </c>
      <c r="X14" s="703"/>
      <c r="Y14" s="3589"/>
      <c r="Z14" s="52">
        <f t="shared" si="7"/>
        <v>111</v>
      </c>
      <c r="AA14" s="704">
        <f t="shared" si="3"/>
        <v>1</v>
      </c>
      <c r="AB14" s="704">
        <f t="shared" si="4"/>
        <v>1</v>
      </c>
      <c r="AC14" s="704">
        <f t="shared" si="5"/>
        <v>1</v>
      </c>
    </row>
    <row r="15" spans="1:29" ht="57">
      <c r="A15" s="391" t="s">
        <v>1687</v>
      </c>
      <c r="B15" s="577" t="s">
        <v>1917</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6" t="s">
        <v>1688</v>
      </c>
      <c r="Q15" s="1352" t="str">
        <f t="shared" si="6"/>
        <v>产业集聚程度</v>
      </c>
      <c r="R15" s="705" t="s">
        <v>14</v>
      </c>
      <c r="S15" s="706">
        <f t="shared" si="0"/>
        <v>100</v>
      </c>
      <c r="T15" s="705" t="s">
        <v>14</v>
      </c>
      <c r="U15" s="706">
        <f t="shared" si="1"/>
        <v>100</v>
      </c>
      <c r="V15" s="705" t="s">
        <v>14</v>
      </c>
      <c r="W15" s="706">
        <f t="shared" si="2"/>
        <v>100</v>
      </c>
      <c r="X15" s="1355"/>
      <c r="Y15" s="3716"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7"/>
      <c r="Q16" s="1352"/>
      <c r="R16" s="705"/>
      <c r="S16" s="706"/>
      <c r="T16" s="705"/>
      <c r="U16" s="706"/>
      <c r="V16" s="705"/>
      <c r="W16" s="706"/>
      <c r="X16" s="1355"/>
      <c r="Y16" s="3717"/>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7"/>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7"/>
      <c r="Q18" s="1352"/>
      <c r="R18" s="705"/>
      <c r="S18" s="706"/>
      <c r="T18" s="705"/>
      <c r="U18" s="706"/>
      <c r="V18" s="705"/>
      <c r="W18" s="706"/>
      <c r="X18" s="1355"/>
      <c r="Y18" s="3717"/>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7"/>
      <c r="Q19" s="1352" t="str">
        <f t="shared" ref="Q19:Q33" si="8">B19</f>
        <v>区域土地利用方向</v>
      </c>
      <c r="R19" s="705" t="s">
        <v>14</v>
      </c>
      <c r="S19" s="706">
        <f>F19</f>
        <v>100</v>
      </c>
      <c r="T19" s="705" t="s">
        <v>14</v>
      </c>
      <c r="U19" s="706">
        <f>H19</f>
        <v>100</v>
      </c>
      <c r="V19" s="705" t="s">
        <v>14</v>
      </c>
      <c r="W19" s="706">
        <f>J19</f>
        <v>100</v>
      </c>
      <c r="X19" s="1355"/>
      <c r="Y19" s="371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7"/>
      <c r="Q20" s="1352"/>
      <c r="R20" s="705"/>
      <c r="S20" s="706"/>
      <c r="T20" s="705"/>
      <c r="U20" s="706"/>
      <c r="V20" s="705"/>
      <c r="W20" s="706"/>
      <c r="X20" s="1355"/>
      <c r="Y20" s="3717"/>
      <c r="Z20" s="1356"/>
      <c r="AA20" s="1353"/>
      <c r="AB20" s="1353"/>
      <c r="AC20" s="1353"/>
    </row>
    <row r="21" spans="1:29" ht="71.25">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7"/>
      <c r="Q21" s="1352" t="str">
        <f t="shared" si="8"/>
        <v>环境状况</v>
      </c>
      <c r="R21" s="705" t="s">
        <v>14</v>
      </c>
      <c r="S21" s="706">
        <f>F21</f>
        <v>100</v>
      </c>
      <c r="T21" s="705" t="s">
        <v>14</v>
      </c>
      <c r="U21" s="706">
        <f>H21</f>
        <v>100</v>
      </c>
      <c r="V21" s="705" t="s">
        <v>14</v>
      </c>
      <c r="W21" s="706">
        <f>J21</f>
        <v>100</v>
      </c>
      <c r="X21" s="1355"/>
      <c r="Y21" s="371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7"/>
      <c r="Q22" s="1352"/>
      <c r="R22" s="705"/>
      <c r="S22" s="706"/>
      <c r="T22" s="705"/>
      <c r="U22" s="706"/>
      <c r="V22" s="705"/>
      <c r="W22" s="706"/>
      <c r="X22" s="1355"/>
      <c r="Y22" s="3717"/>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7"/>
      <c r="Q23" s="1343" t="str">
        <f t="shared" si="8"/>
        <v>公共配套设施</v>
      </c>
      <c r="R23" s="701" t="s">
        <v>14</v>
      </c>
      <c r="S23" s="702">
        <f>F23</f>
        <v>100</v>
      </c>
      <c r="T23" s="701" t="s">
        <v>14</v>
      </c>
      <c r="U23" s="702">
        <f>H23</f>
        <v>100</v>
      </c>
      <c r="V23" s="701" t="s">
        <v>14</v>
      </c>
      <c r="W23" s="702">
        <f>J23</f>
        <v>100</v>
      </c>
      <c r="X23" s="703"/>
      <c r="Y23" s="371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17"/>
      <c r="Q24" s="1343"/>
      <c r="R24" s="701"/>
      <c r="S24" s="702"/>
      <c r="T24" s="701"/>
      <c r="U24" s="702"/>
      <c r="V24" s="701"/>
      <c r="W24" s="702"/>
      <c r="X24" s="703"/>
      <c r="Y24" s="3717"/>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7"/>
      <c r="Q25" s="1343" t="str">
        <f t="shared" ref="Q25" si="9">B25</f>
        <v>基础设施水平</v>
      </c>
      <c r="R25" s="701" t="s">
        <v>14</v>
      </c>
      <c r="S25" s="702">
        <f>F25</f>
        <v>100</v>
      </c>
      <c r="T25" s="701" t="s">
        <v>14</v>
      </c>
      <c r="U25" s="702">
        <f>H25</f>
        <v>100</v>
      </c>
      <c r="V25" s="701" t="s">
        <v>14</v>
      </c>
      <c r="W25" s="702">
        <f>J25</f>
        <v>100</v>
      </c>
      <c r="X25" s="703"/>
      <c r="Y25" s="371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17"/>
      <c r="Q26" s="1343"/>
      <c r="R26" s="701"/>
      <c r="S26" s="702"/>
      <c r="T26" s="701"/>
      <c r="U26" s="702"/>
      <c r="V26" s="701"/>
      <c r="W26" s="702"/>
      <c r="X26" s="703"/>
      <c r="Y26" s="3717"/>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7"/>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7"/>
      <c r="Q28" s="1352" t="str">
        <f t="shared" si="8"/>
        <v>毗邻道路的类型与等级</v>
      </c>
      <c r="R28" s="705" t="s">
        <v>14</v>
      </c>
      <c r="S28" s="706">
        <f t="shared" si="10"/>
        <v>100</v>
      </c>
      <c r="T28" s="705" t="s">
        <v>14</v>
      </c>
      <c r="U28" s="706">
        <f t="shared" si="11"/>
        <v>100</v>
      </c>
      <c r="V28" s="705" t="s">
        <v>14</v>
      </c>
      <c r="W28" s="706">
        <f t="shared" si="12"/>
        <v>100</v>
      </c>
      <c r="X28" s="1355"/>
      <c r="Y28" s="371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7"/>
      <c r="Q29" s="1352"/>
      <c r="R29" s="705"/>
      <c r="S29" s="706"/>
      <c r="T29" s="705"/>
      <c r="U29" s="706"/>
      <c r="V29" s="705"/>
      <c r="W29" s="706"/>
      <c r="X29" s="1355"/>
      <c r="Y29" s="3717"/>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7"/>
      <c r="Q30" s="1352" t="str">
        <f t="shared" si="8"/>
        <v>土地级别</v>
      </c>
      <c r="R30" s="705" t="s">
        <v>14</v>
      </c>
      <c r="S30" s="706">
        <f t="shared" si="10"/>
        <v>100</v>
      </c>
      <c r="T30" s="705" t="s">
        <v>14</v>
      </c>
      <c r="U30" s="706">
        <f t="shared" si="11"/>
        <v>100</v>
      </c>
      <c r="V30" s="705" t="s">
        <v>14</v>
      </c>
      <c r="W30" s="706">
        <f t="shared" si="12"/>
        <v>100</v>
      </c>
      <c r="X30" s="1355"/>
      <c r="Y30" s="371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7"/>
      <c r="Q31" s="1352">
        <f t="shared" si="8"/>
        <v>111</v>
      </c>
      <c r="R31" s="705" t="s">
        <v>14</v>
      </c>
      <c r="S31" s="706">
        <f t="shared" si="10"/>
        <v>100</v>
      </c>
      <c r="T31" s="705" t="s">
        <v>14</v>
      </c>
      <c r="U31" s="706">
        <f t="shared" si="11"/>
        <v>100</v>
      </c>
      <c r="V31" s="705" t="s">
        <v>14</v>
      </c>
      <c r="W31" s="706">
        <f t="shared" si="12"/>
        <v>100</v>
      </c>
      <c r="X31" s="1355"/>
      <c r="Y31" s="371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73" t="s">
        <v>1693</v>
      </c>
      <c r="Q32" s="1352">
        <f t="shared" si="8"/>
        <v>111</v>
      </c>
      <c r="R32" s="705" t="s">
        <v>14</v>
      </c>
      <c r="S32" s="706">
        <f t="shared" si="10"/>
        <v>100</v>
      </c>
      <c r="T32" s="705" t="s">
        <v>14</v>
      </c>
      <c r="U32" s="706">
        <f t="shared" si="11"/>
        <v>100</v>
      </c>
      <c r="V32" s="705" t="s">
        <v>14</v>
      </c>
      <c r="W32" s="706">
        <f t="shared" si="12"/>
        <v>100</v>
      </c>
      <c r="X32" s="1355"/>
      <c r="Y32" s="3721"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1"/>
      <c r="Q33" s="1352">
        <f t="shared" si="8"/>
        <v>111</v>
      </c>
      <c r="R33" s="708" t="s">
        <v>14</v>
      </c>
      <c r="S33" s="709">
        <f t="shared" si="10"/>
        <v>100</v>
      </c>
      <c r="T33" s="708" t="s">
        <v>14</v>
      </c>
      <c r="U33" s="709">
        <f t="shared" si="11"/>
        <v>100</v>
      </c>
      <c r="V33" s="708" t="s">
        <v>14</v>
      </c>
      <c r="W33" s="709">
        <f t="shared" si="12"/>
        <v>100</v>
      </c>
      <c r="X33" s="710"/>
      <c r="Y33" s="3721"/>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1"/>
      <c r="Q34" s="1352" t="str">
        <f>B34</f>
        <v>宗地面积</v>
      </c>
      <c r="R34" s="705" t="s">
        <v>14</v>
      </c>
      <c r="S34" s="706" t="e">
        <f t="shared" si="10"/>
        <v>#N/A</v>
      </c>
      <c r="T34" s="705" t="s">
        <v>14</v>
      </c>
      <c r="U34" s="706" t="e">
        <f t="shared" si="11"/>
        <v>#N/A</v>
      </c>
      <c r="V34" s="705" t="s">
        <v>14</v>
      </c>
      <c r="W34" s="706" t="e">
        <f t="shared" si="12"/>
        <v>#N/A</v>
      </c>
      <c r="X34" s="1355"/>
      <c r="Y34" s="3721"/>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21"/>
      <c r="Q35" s="1352" t="str">
        <f t="shared" ref="Q35:Q40" si="14">B35</f>
        <v>宗地形状</v>
      </c>
      <c r="R35" s="705" t="s">
        <v>14</v>
      </c>
      <c r="S35" s="706">
        <f t="shared" si="10"/>
        <v>100</v>
      </c>
      <c r="T35" s="705" t="s">
        <v>14</v>
      </c>
      <c r="U35" s="706">
        <f t="shared" si="11"/>
        <v>100</v>
      </c>
      <c r="V35" s="705" t="s">
        <v>14</v>
      </c>
      <c r="W35" s="706">
        <f t="shared" si="12"/>
        <v>100</v>
      </c>
      <c r="X35" s="1355"/>
      <c r="Y35" s="3721"/>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21"/>
      <c r="Q36" s="1352" t="str">
        <f t="shared" si="14"/>
        <v>宗地开发程度</v>
      </c>
      <c r="R36" s="701" t="s">
        <v>14</v>
      </c>
      <c r="S36" s="702">
        <f t="shared" si="10"/>
        <v>100</v>
      </c>
      <c r="T36" s="701" t="s">
        <v>14</v>
      </c>
      <c r="U36" s="702">
        <f t="shared" si="11"/>
        <v>100</v>
      </c>
      <c r="V36" s="701" t="s">
        <v>14</v>
      </c>
      <c r="W36" s="702">
        <f t="shared" si="12"/>
        <v>100</v>
      </c>
      <c r="X36" s="703"/>
      <c r="Y36" s="3721"/>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21" t="s">
        <v>1693</v>
      </c>
      <c r="Q37" s="1352" t="str">
        <f t="shared" si="14"/>
        <v>工程地质条件</v>
      </c>
      <c r="R37" s="705" t="s">
        <v>14</v>
      </c>
      <c r="S37" s="706">
        <f t="shared" si="10"/>
        <v>100</v>
      </c>
      <c r="T37" s="705" t="s">
        <v>14</v>
      </c>
      <c r="U37" s="706">
        <f t="shared" si="11"/>
        <v>100</v>
      </c>
      <c r="V37" s="705" t="s">
        <v>14</v>
      </c>
      <c r="W37" s="706">
        <f t="shared" si="12"/>
        <v>100</v>
      </c>
      <c r="X37" s="1355"/>
      <c r="Y37" s="3721"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1"/>
      <c r="Q38" s="1352">
        <f t="shared" si="14"/>
        <v>111</v>
      </c>
      <c r="R38" s="705" t="s">
        <v>14</v>
      </c>
      <c r="S38" s="706">
        <f t="shared" si="10"/>
        <v>100</v>
      </c>
      <c r="T38" s="705" t="s">
        <v>14</v>
      </c>
      <c r="U38" s="706">
        <f t="shared" si="11"/>
        <v>100</v>
      </c>
      <c r="V38" s="705" t="s">
        <v>14</v>
      </c>
      <c r="W38" s="706">
        <f t="shared" si="12"/>
        <v>100</v>
      </c>
      <c r="X38" s="1355"/>
      <c r="Y38" s="372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1"/>
      <c r="Q39" s="1352">
        <f t="shared" si="14"/>
        <v>111</v>
      </c>
      <c r="R39" s="705" t="s">
        <v>14</v>
      </c>
      <c r="S39" s="706">
        <f t="shared" si="10"/>
        <v>100</v>
      </c>
      <c r="T39" s="705" t="s">
        <v>14</v>
      </c>
      <c r="U39" s="706">
        <f t="shared" si="11"/>
        <v>100</v>
      </c>
      <c r="V39" s="705" t="s">
        <v>14</v>
      </c>
      <c r="W39" s="706">
        <f t="shared" si="12"/>
        <v>100</v>
      </c>
      <c r="X39" s="1355"/>
      <c r="Y39" s="372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1"/>
      <c r="Q40" s="1352">
        <f t="shared" si="14"/>
        <v>111</v>
      </c>
      <c r="R40" s="708" t="s">
        <v>14</v>
      </c>
      <c r="S40" s="709">
        <f t="shared" si="10"/>
        <v>100</v>
      </c>
      <c r="T40" s="708" t="s">
        <v>14</v>
      </c>
      <c r="U40" s="709">
        <f t="shared" si="11"/>
        <v>100</v>
      </c>
      <c r="V40" s="708" t="s">
        <v>14</v>
      </c>
      <c r="W40" s="709">
        <f t="shared" si="12"/>
        <v>100</v>
      </c>
      <c r="X40" s="710"/>
      <c r="Y40" s="3721"/>
      <c r="Z40" s="711">
        <f t="shared" si="13"/>
        <v>111</v>
      </c>
      <c r="AA40" s="1353">
        <f t="shared" si="3"/>
        <v>1</v>
      </c>
      <c r="AB40" s="1353">
        <f t="shared" si="4"/>
        <v>1</v>
      </c>
      <c r="AC40" s="1353">
        <f t="shared" si="5"/>
        <v>1</v>
      </c>
    </row>
    <row r="41" spans="1:31" ht="15">
      <c r="A41" s="430" t="s">
        <v>1841</v>
      </c>
      <c r="B41" s="1982" t="s">
        <v>1919</v>
      </c>
      <c r="C41" s="630" t="s">
        <v>0</v>
      </c>
      <c r="D41" s="432"/>
      <c r="E41" s="433"/>
      <c r="F41" s="434"/>
      <c r="G41" s="435"/>
      <c r="H41" s="436"/>
      <c r="I41" s="433"/>
      <c r="J41" s="436"/>
      <c r="K41" s="714"/>
      <c r="L41" s="2723"/>
      <c r="M41" s="2715"/>
      <c r="N41" s="2715"/>
      <c r="O41" s="2724"/>
      <c r="P41" s="3714" t="str">
        <f>A41</f>
        <v>成交单价</v>
      </c>
      <c r="Q41" s="3714"/>
      <c r="R41" s="3745">
        <f>E41</f>
        <v>0</v>
      </c>
      <c r="S41" s="3745"/>
      <c r="T41" s="3745">
        <f>G41</f>
        <v>0</v>
      </c>
      <c r="U41" s="3745"/>
      <c r="V41" s="3745">
        <f>I41</f>
        <v>0</v>
      </c>
      <c r="W41" s="3745"/>
      <c r="X41" s="690"/>
      <c r="Y41" s="712"/>
      <c r="Z41" s="690"/>
      <c r="AA41" s="690"/>
      <c r="AB41" s="690"/>
      <c r="AC41" s="690"/>
    </row>
    <row r="42" spans="1:31" ht="15.75" thickBot="1">
      <c r="A42" s="437" t="s">
        <v>1790</v>
      </c>
      <c r="B42" s="631"/>
      <c r="C42" s="440" t="e">
        <f>R43</f>
        <v>#DIV/0!</v>
      </c>
      <c r="D42" s="2317" t="s">
        <v>2134</v>
      </c>
      <c r="E42" s="440" t="e">
        <f>R42</f>
        <v>#DIV/0!</v>
      </c>
      <c r="F42" s="2318"/>
      <c r="G42" s="439" t="e">
        <f>T42</f>
        <v>#DIV/0!</v>
      </c>
      <c r="H42" s="2318"/>
      <c r="I42" s="440" t="e">
        <f>V42</f>
        <v>#DIV/0!</v>
      </c>
      <c r="J42" s="2318"/>
      <c r="K42" s="2320">
        <f>F42+H42+J42</f>
        <v>0</v>
      </c>
      <c r="L42" s="2723"/>
      <c r="M42" s="2715"/>
      <c r="N42" s="2715"/>
      <c r="O42" s="2724"/>
      <c r="P42" s="3714" t="str">
        <f>A42</f>
        <v>比较价值（元/平方米）</v>
      </c>
      <c r="Q42" s="3714"/>
      <c r="R42" s="3775" t="e">
        <f>ROUND(PRODUCT(R41,AA7:AA40),0)</f>
        <v>#DIV/0!</v>
      </c>
      <c r="S42" s="3775"/>
      <c r="T42" s="3775" t="e">
        <f>ROUND(PRODUCT(T41,AB7:AB40),0)</f>
        <v>#DIV/0!</v>
      </c>
      <c r="U42" s="3775"/>
      <c r="V42" s="3775" t="e">
        <f>ROUND(PRODUCT(V41,AC7:AC40),0)</f>
        <v>#DIV/0!</v>
      </c>
      <c r="W42" s="3775"/>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3"/>
      <c r="M43" s="2715"/>
      <c r="N43" s="2715"/>
      <c r="O43" s="2724"/>
      <c r="P43" s="3711" t="str">
        <f>A43</f>
        <v>估价对象XX用房的比较价值（楼面单价，元/平方米）</v>
      </c>
      <c r="Q43" s="3712"/>
      <c r="R43" s="3776" t="e">
        <f>ROUND(IF(D42="简单平均",AVERAGE(R42:W42),R42*F42+T42*H42+V42*J42),0)</f>
        <v>#DIV/0!</v>
      </c>
      <c r="S43" s="3776"/>
      <c r="T43" s="3776"/>
      <c r="U43" s="3776"/>
      <c r="V43" s="3776"/>
      <c r="W43" s="377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1878</v>
      </c>
      <c r="B50" s="633" t="s">
        <v>1879</v>
      </c>
      <c r="C50" s="1983" t="s">
        <v>1880</v>
      </c>
      <c r="D50" s="1984" t="s">
        <v>1881</v>
      </c>
      <c r="E50" s="634" t="s">
        <v>1882</v>
      </c>
      <c r="F50" s="635" t="s">
        <v>1883</v>
      </c>
      <c r="G50" s="3729" t="s">
        <v>1884</v>
      </c>
      <c r="H50" s="3777"/>
      <c r="I50" s="1356" t="s">
        <v>1920</v>
      </c>
      <c r="J50" s="1356">
        <f>项目基本情况!F35</f>
        <v>0</v>
      </c>
      <c r="K50" s="1986" t="s">
        <v>1886</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1887</v>
      </c>
      <c r="B51" s="637" t="e">
        <f>C43</f>
        <v>#DIV/0!</v>
      </c>
      <c r="C51" s="638">
        <v>1</v>
      </c>
      <c r="D51" s="944">
        <v>1</v>
      </c>
      <c r="E51" s="638">
        <f>'数据-汇总表'!E8+'数据-汇总表'!E9</f>
        <v>139.07999999999998</v>
      </c>
      <c r="F51" s="639" t="e">
        <f t="shared" ref="F51:F60" si="15">ROUND(B51*E51/10000,0)</f>
        <v>#DIV/0!</v>
      </c>
      <c r="G51" s="3725"/>
      <c r="H51" s="371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1888</v>
      </c>
      <c r="B52" s="218" t="e">
        <f>ROUND($C$43*C52*D52,0)</f>
        <v>#DIV/0!</v>
      </c>
      <c r="C52" s="171">
        <f t="shared" ref="C52:C60" si="16">IF($C$50="北京市系数",I52,J52)</f>
        <v>0</v>
      </c>
      <c r="D52" s="945">
        <v>0.25</v>
      </c>
      <c r="E52" s="642"/>
      <c r="F52" s="639" t="e">
        <f t="shared" si="15"/>
        <v>#DIV/0!</v>
      </c>
      <c r="G52" s="3005" t="s">
        <v>1889</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1890</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1891</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1898</v>
      </c>
      <c r="B59" s="218" t="e">
        <f t="shared" si="17"/>
        <v>#DIV/0!</v>
      </c>
      <c r="C59" s="171">
        <f t="shared" si="16"/>
        <v>0</v>
      </c>
      <c r="D59" s="945">
        <v>0.25</v>
      </c>
      <c r="E59" s="217">
        <f>'数据-汇总表'!E14</f>
        <v>0</v>
      </c>
      <c r="F59" s="639" t="e">
        <f t="shared" si="15"/>
        <v>#DIV/0!</v>
      </c>
      <c r="G59" s="1987" t="s">
        <v>1889</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4"/>
      <c r="Q63" s="2724"/>
      <c r="R63" s="2724"/>
      <c r="S63" s="2724"/>
      <c r="T63" s="2724"/>
      <c r="U63" s="2724"/>
      <c r="V63" s="2724"/>
      <c r="W63" s="2724"/>
      <c r="X63" s="2724"/>
      <c r="Y63" s="2724"/>
      <c r="Z63" s="2724"/>
      <c r="AA63" s="2724"/>
      <c r="AB63" s="2724"/>
      <c r="AC63" s="2724"/>
      <c r="AD63" s="2724"/>
      <c r="AE63" s="2724"/>
    </row>
    <row r="64" spans="1:31" ht="21.75" thickBot="1">
      <c r="A64" s="694" t="s">
        <v>1795</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1901</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1713</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1678</v>
      </c>
      <c r="B68" s="459"/>
      <c r="C68" s="471" t="s">
        <v>1773</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1716</v>
      </c>
      <c r="B70" s="477" t="s">
        <v>1682</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1685</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1687</v>
      </c>
      <c r="B83" s="477" t="s">
        <v>1826</v>
      </c>
      <c r="C83" s="522" t="s">
        <v>1718</v>
      </c>
      <c r="D83" s="522" t="s">
        <v>1719</v>
      </c>
      <c r="E83" s="522" t="s">
        <v>1720</v>
      </c>
      <c r="F83" s="522" t="s">
        <v>1721</v>
      </c>
      <c r="G83" s="522" t="s">
        <v>1722</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1723</v>
      </c>
      <c r="C85" s="527" t="s">
        <v>1718</v>
      </c>
      <c r="D85" s="527" t="s">
        <v>1719</v>
      </c>
      <c r="E85" s="527" t="s">
        <v>1720</v>
      </c>
      <c r="F85" s="527" t="s">
        <v>1721</v>
      </c>
      <c r="G85" s="527" t="s">
        <v>1722</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1812</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1870</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1911</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1913</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1914</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59" priority="18" stopIfTrue="1" operator="containsText" text="超过">
      <formula>NOT(ISERROR(SEARCH("超过",F46)))</formula>
    </cfRule>
  </conditionalFormatting>
  <conditionalFormatting sqref="J48">
    <cfRule type="containsText" dxfId="58" priority="17" stopIfTrue="1" operator="containsText" text="超过">
      <formula>NOT(ISERROR(SEARCH("超过",J48)))</formula>
    </cfRule>
  </conditionalFormatting>
  <conditionalFormatting sqref="H48">
    <cfRule type="containsText" dxfId="57" priority="16" stopIfTrue="1" operator="containsText" text="超过">
      <formula>NOT(ISERROR(SEARCH("超过",H48)))</formula>
    </cfRule>
  </conditionalFormatting>
  <conditionalFormatting sqref="F48">
    <cfRule type="containsText" dxfId="56" priority="15" stopIfTrue="1" operator="containsText" text="超过">
      <formula>NOT(ISERROR(SEARCH("超过",F48)))</formula>
    </cfRule>
  </conditionalFormatting>
  <conditionalFormatting sqref="F47 H47 J47">
    <cfRule type="containsText" dxfId="55" priority="14" stopIfTrue="1" operator="containsText" text="超过">
      <formula>NOT(ISERROR(SEARCH("超过",F47)))</formula>
    </cfRule>
  </conditionalFormatting>
  <conditionalFormatting sqref="E46">
    <cfRule type="expression" dxfId="54" priority="13" stopIfTrue="1">
      <formula>$F$46="超过30%"</formula>
    </cfRule>
  </conditionalFormatting>
  <conditionalFormatting sqref="G48">
    <cfRule type="expression" dxfId="53" priority="12" stopIfTrue="1">
      <formula>$H$48="超过30%"</formula>
    </cfRule>
  </conditionalFormatting>
  <conditionalFormatting sqref="E48">
    <cfRule type="expression" dxfId="52" priority="10" stopIfTrue="1">
      <formula>$F$48="超过30%"</formula>
    </cfRule>
  </conditionalFormatting>
  <conditionalFormatting sqref="G46">
    <cfRule type="expression" dxfId="51" priority="9" stopIfTrue="1">
      <formula>$H$46="超过30%"</formula>
    </cfRule>
  </conditionalFormatting>
  <conditionalFormatting sqref="G47">
    <cfRule type="expression" dxfId="50" priority="8" stopIfTrue="1">
      <formula>$H$47="超过20%"</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E47">
    <cfRule type="expression" dxfId="46" priority="53" stopIfTrue="1">
      <formula>#REF!+$F$47="超过20%"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85" t="s">
        <v>2081</v>
      </c>
      <c r="D1" s="3786"/>
      <c r="E1" s="3786"/>
      <c r="F1" s="3786"/>
      <c r="G1" s="3786"/>
      <c r="H1" s="3786"/>
      <c r="I1" s="3786"/>
      <c r="J1" s="3786"/>
      <c r="K1" s="3786"/>
      <c r="L1" s="3786"/>
      <c r="M1" s="3786"/>
      <c r="N1" s="3786"/>
      <c r="O1" s="3786"/>
      <c r="P1" s="3786"/>
      <c r="Q1" s="3786"/>
      <c r="R1" s="3786"/>
      <c r="S1" s="3787"/>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#N/A</v>
      </c>
      <c r="C20" s="159"/>
      <c r="D20" s="2151" t="s">
        <v>43</v>
      </c>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#N/A</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130</v>
      </c>
      <c r="C22" s="3782" t="s">
        <v>27</v>
      </c>
      <c r="D22" s="3783"/>
      <c r="E22" s="3783"/>
      <c r="F22" s="3783"/>
      <c r="G22" s="3783"/>
      <c r="H22" s="3783"/>
      <c r="I22" s="3783"/>
      <c r="J22" s="3783"/>
      <c r="K22" s="3783"/>
      <c r="L22" s="3783"/>
      <c r="M22" s="3783"/>
      <c r="N22" s="3783"/>
      <c r="O22" s="3783"/>
      <c r="P22" s="3783"/>
      <c r="Q22" s="3784"/>
      <c r="R22" s="663" t="e">
        <f ca="1">ROUND(S22*10000/B22,0)</f>
        <v>#N/A</v>
      </c>
      <c r="S22" s="21" t="e">
        <f ca="1">SUM(S24:S10000)</f>
        <v>#N/A</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413</v>
      </c>
      <c r="B24" s="665">
        <v>50</v>
      </c>
      <c r="C24" s="2809">
        <v>1</v>
      </c>
      <c r="D24" s="2810"/>
      <c r="E24" s="2809">
        <v>1</v>
      </c>
      <c r="F24" s="2810"/>
      <c r="G24" s="2809">
        <v>1</v>
      </c>
      <c r="H24" s="2810"/>
      <c r="I24" s="2809">
        <v>1</v>
      </c>
      <c r="J24" s="2810"/>
      <c r="K24" s="2809">
        <v>1</v>
      </c>
      <c r="L24" s="2810"/>
      <c r="M24" s="2809">
        <v>1</v>
      </c>
      <c r="N24" s="2810"/>
      <c r="O24" s="2809">
        <v>1</v>
      </c>
      <c r="P24" s="2810"/>
      <c r="Q24" s="2809">
        <v>1</v>
      </c>
      <c r="R24" s="668">
        <f ca="1">结果表413!G20</f>
        <v>35889</v>
      </c>
      <c r="S24" s="666">
        <f t="shared" ref="S24:S54" ca="1" si="11">ROUND(R24*B24/10000,0)</f>
        <v>179</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414</v>
      </c>
      <c r="B25" s="54">
        <v>80</v>
      </c>
      <c r="C25" s="21" t="e">
        <f>IF(B25="",1,(LOOKUP(B25,$3:$3,$4:$4)-LOOKUP($B$24,$3:$3,$4:$4)+100)/100)</f>
        <v>#N/A</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t="e">
        <f ca="1">IF(B25="",0,ROUND($R$24*C25*E25*G25*I25*K25*M25*O25*Q25,0))</f>
        <v>#N/A</v>
      </c>
      <c r="S25" s="316" t="e">
        <f t="shared" ca="1" si="11"/>
        <v>#N/A</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906</v>
      </c>
      <c r="B1" s="1491"/>
      <c r="C1" s="1491"/>
      <c r="D1" s="1491"/>
      <c r="E1" s="1491"/>
    </row>
    <row r="2" spans="1:5" ht="78" customHeight="1">
      <c r="A2" s="35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4"/>
      <c r="C2" s="3504"/>
      <c r="D2" s="3504"/>
      <c r="E2" s="3504"/>
    </row>
    <row r="3" spans="1:5" ht="18">
      <c r="A3" s="3505" t="str">
        <f>IF(项目基本情况!B9="房地产市场价值","估价结果一览表（市场价值不需“结果表-1”）","估价结果一览表")</f>
        <v>估价结果一览表</v>
      </c>
      <c r="B3" s="3505"/>
      <c r="C3" s="3505"/>
      <c r="D3" s="3505"/>
      <c r="E3" s="3505"/>
    </row>
    <row r="4" spans="1:5" ht="19.5" thickBot="1">
      <c r="A4" s="1493"/>
      <c r="B4" s="3503" t="s">
        <v>915</v>
      </c>
      <c r="C4" s="3503"/>
      <c r="D4" s="3503"/>
      <c r="E4" s="1493"/>
    </row>
    <row r="5" spans="1:5" ht="16.5" thickTop="1">
      <c r="A5" s="1491"/>
      <c r="B5" s="3501" t="s">
        <v>907</v>
      </c>
      <c r="C5" s="1494" t="s">
        <v>908</v>
      </c>
      <c r="D5" s="850">
        <f ca="1">结果表413!H101</f>
        <v>210</v>
      </c>
      <c r="E5" s="1491"/>
    </row>
    <row r="6" spans="1:5" ht="15.75">
      <c r="A6" s="1491"/>
      <c r="B6" s="3501"/>
      <c r="C6" s="1494" t="s">
        <v>909</v>
      </c>
      <c r="D6" s="850" t="str">
        <f ca="1">NUMBERSTRING(INT(D5*10000),2)&amp;"元整"</f>
        <v>贰佰壹拾万元整</v>
      </c>
      <c r="E6" s="1491"/>
    </row>
    <row r="7" spans="1:5" ht="15.75">
      <c r="A7" s="1491"/>
      <c r="B7" s="3506"/>
      <c r="C7" s="1495" t="s">
        <v>910</v>
      </c>
      <c r="D7" s="851">
        <f ca="1">结果表413!H102</f>
        <v>35889</v>
      </c>
      <c r="E7" s="1491"/>
    </row>
    <row r="8" spans="1:5" ht="15.75">
      <c r="A8" s="1491"/>
      <c r="B8" s="3507" t="str">
        <f>结果表413!E103</f>
        <v>2.估价师知悉的法定优先受偿款</v>
      </c>
      <c r="C8" s="1496" t="s">
        <v>911</v>
      </c>
      <c r="D8" s="851">
        <f>结果表413!H103</f>
        <v>0</v>
      </c>
      <c r="E8" s="1491"/>
    </row>
    <row r="9" spans="1:5" ht="15.75">
      <c r="A9" s="1491"/>
      <c r="B9" s="3509"/>
      <c r="C9" s="1494" t="s">
        <v>909</v>
      </c>
      <c r="D9" s="850" t="str">
        <f>NUMBERSTRING(INT(D8*10000),2)&amp;"元整"</f>
        <v>零元整</v>
      </c>
      <c r="E9" s="1491"/>
    </row>
    <row r="10" spans="1:5" ht="15">
      <c r="A10" s="1491"/>
      <c r="B10" s="1497" t="s">
        <v>914</v>
      </c>
      <c r="C10" s="1498" t="s">
        <v>912</v>
      </c>
      <c r="D10" s="852">
        <f>结果表413!H104</f>
        <v>0</v>
      </c>
      <c r="E10" s="1491"/>
    </row>
    <row r="11" spans="1:5" ht="15">
      <c r="A11" s="1491"/>
      <c r="B11" s="1497" t="s">
        <v>916</v>
      </c>
      <c r="C11" s="1498" t="s">
        <v>917</v>
      </c>
      <c r="D11" s="852">
        <f>结果表413!H105</f>
        <v>0</v>
      </c>
      <c r="E11" s="1491"/>
    </row>
    <row r="12" spans="1:5" ht="15">
      <c r="A12" s="1491"/>
      <c r="B12" s="1497" t="s">
        <v>918</v>
      </c>
      <c r="C12" s="1498" t="s">
        <v>917</v>
      </c>
      <c r="D12" s="852">
        <f>结果表413!H106</f>
        <v>0</v>
      </c>
      <c r="E12" s="1491"/>
    </row>
    <row r="13" spans="1:5" ht="15.75">
      <c r="A13" s="1491"/>
      <c r="B13" s="3500" t="str">
        <f>结果表413!E107</f>
        <v>3.房地产抵押价值</v>
      </c>
      <c r="C13" s="1499" t="s">
        <v>908</v>
      </c>
      <c r="D13" s="853">
        <f ca="1">结果表413!H107</f>
        <v>210</v>
      </c>
      <c r="E13" s="1491"/>
    </row>
    <row r="14" spans="1:5" ht="15.75">
      <c r="A14" s="1491"/>
      <c r="B14" s="3501"/>
      <c r="C14" s="1494" t="s">
        <v>909</v>
      </c>
      <c r="D14" s="850" t="str">
        <f ca="1">NUMBERSTRING(INT(D13*10000),2)&amp;"元整"</f>
        <v>贰佰壹拾万元整</v>
      </c>
      <c r="E14" s="1491"/>
    </row>
    <row r="15" spans="1:5" ht="15">
      <c r="A15" s="1491"/>
      <c r="B15" s="3506"/>
      <c r="C15" s="1495" t="s">
        <v>919</v>
      </c>
      <c r="D15" s="859">
        <f ca="1">结果表413!H108</f>
        <v>35889</v>
      </c>
      <c r="E15" s="1491"/>
    </row>
    <row r="16" spans="1:5" ht="15">
      <c r="A16" s="1491"/>
      <c r="B16" s="3507" t="str">
        <f>结果表413!E109</f>
        <v>——</v>
      </c>
      <c r="C16" s="1499" t="s">
        <v>920</v>
      </c>
      <c r="D16" s="1500" t="str">
        <f>结果表413!H109</f>
        <v>——</v>
      </c>
      <c r="E16" s="1491"/>
    </row>
    <row r="17" spans="1:5" ht="15.75">
      <c r="A17" s="1491"/>
      <c r="B17" s="3508"/>
      <c r="C17" s="1494" t="s">
        <v>921</v>
      </c>
      <c r="D17" s="850" t="e">
        <f>NUMBERSTRING(INT(D16*10000),2)&amp;"元整"</f>
        <v>#VALUE!</v>
      </c>
      <c r="E17" s="1491"/>
    </row>
    <row r="18" spans="1:5" ht="15">
      <c r="A18" s="1491"/>
      <c r="B18" s="3509"/>
      <c r="C18" s="1495" t="s">
        <v>910</v>
      </c>
      <c r="D18" s="859" t="str">
        <f>结果表413!H110</f>
        <v>——</v>
      </c>
      <c r="E18" s="1491"/>
    </row>
    <row r="19" spans="1:5" ht="15.75">
      <c r="A19" s="1491"/>
      <c r="B19" s="3500" t="str">
        <f>结果表413!E111</f>
        <v>4.抵押净值</v>
      </c>
      <c r="C19" s="1499" t="s">
        <v>908</v>
      </c>
      <c r="D19" s="851">
        <f ca="1">结果表413!H111</f>
        <v>210</v>
      </c>
      <c r="E19" s="1491"/>
    </row>
    <row r="20" spans="1:5" ht="15.75">
      <c r="A20" s="1491"/>
      <c r="B20" s="3501"/>
      <c r="C20" s="1494" t="s">
        <v>921</v>
      </c>
      <c r="D20" s="850" t="str">
        <f ca="1">NUMBERSTRING(INT(D19*10000),2)&amp;"元整"</f>
        <v>贰佰壹拾万元整</v>
      </c>
      <c r="E20" s="1491"/>
    </row>
    <row r="21" spans="1:5" ht="15.75" thickBot="1">
      <c r="A21" s="1491"/>
      <c r="B21" s="3502"/>
      <c r="C21" s="1501" t="s">
        <v>919</v>
      </c>
      <c r="D21" s="860">
        <f ca="1">结果表413!H112</f>
        <v>15099</v>
      </c>
      <c r="E21" s="1491"/>
    </row>
    <row r="22" spans="1:5" ht="15" thickTop="1">
      <c r="A22" s="1491"/>
      <c r="B22" s="1502" t="s">
        <v>922</v>
      </c>
      <c r="C22" s="1491"/>
      <c r="D22" s="1491"/>
      <c r="E22" s="1491"/>
    </row>
    <row r="23" spans="1:5">
      <c r="A23" s="1491"/>
      <c r="B23" s="1491"/>
      <c r="C23" s="1491"/>
      <c r="D23" s="1491"/>
      <c r="E23" s="1491"/>
    </row>
    <row r="24" spans="1:5" ht="18.75">
      <c r="A24" s="1503"/>
      <c r="B24" s="1504" t="s">
        <v>913</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92"/>
      <c r="G1" s="2792"/>
      <c r="H1" s="2792"/>
      <c r="I1" s="2792"/>
      <c r="J1" s="2792"/>
      <c r="K1" s="2792"/>
      <c r="L1" s="2792"/>
      <c r="M1" s="2792"/>
      <c r="N1" s="2792"/>
      <c r="O1" s="2792"/>
      <c r="P1" s="2792"/>
    </row>
    <row r="2" spans="1:16" ht="15.75">
      <c r="A2" s="2145" t="s">
        <v>2070</v>
      </c>
      <c r="B2" s="2601" t="e">
        <f ca="1">SUMIF(B6:B13,"&lt;&gt;#ref!",B6:B13)</f>
        <v>#DIV/0!</v>
      </c>
      <c r="C2" s="2145" t="s">
        <v>2071</v>
      </c>
      <c r="D2" s="2145" t="s">
        <v>2072</v>
      </c>
      <c r="E2" s="2611">
        <f ca="1">SUMIF(E6:E13,"&lt;&gt;#ref!",E6:E13)</f>
        <v>0</v>
      </c>
      <c r="F2" s="2792"/>
      <c r="G2" s="2792"/>
      <c r="H2" s="2792"/>
      <c r="I2" s="2792"/>
      <c r="J2" s="2792"/>
      <c r="K2" s="2792"/>
      <c r="L2" s="2792"/>
      <c r="M2" s="2792"/>
      <c r="N2" s="2792"/>
      <c r="O2" s="2792"/>
      <c r="P2" s="2792"/>
    </row>
    <row r="3" spans="1:16" ht="15.75">
      <c r="A3" s="2145" t="s">
        <v>2073</v>
      </c>
      <c r="B3" s="2601" t="e">
        <f ca="1">ROUND(B2*10000/E2,0)</f>
        <v>#DIV/0!</v>
      </c>
      <c r="C3" s="2145" t="s">
        <v>2079</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2074</v>
      </c>
      <c r="B5" s="2609" t="s">
        <v>2075</v>
      </c>
      <c r="C5" s="2146"/>
      <c r="D5" s="2792"/>
      <c r="E5" s="2610" t="s">
        <v>2076</v>
      </c>
      <c r="F5" s="2792"/>
      <c r="G5" s="2792"/>
      <c r="H5" s="2792"/>
      <c r="I5" s="2792"/>
      <c r="J5" s="2792"/>
      <c r="K5" s="2792"/>
      <c r="L5" s="2792"/>
      <c r="M5" s="2792"/>
      <c r="N5" s="2792"/>
      <c r="O5" s="2792"/>
      <c r="P5" s="2792"/>
    </row>
    <row r="6" spans="1:16" ht="15.75">
      <c r="A6" s="2608" t="s">
        <v>2077</v>
      </c>
      <c r="B6" s="2601" t="e">
        <f ca="1">SUMIF(INDIRECT("'"&amp;A6&amp;"'"&amp;"!A:A"),"总价",INDIRECT("'"&amp;A6&amp;"'"&amp;"!B:B"))</f>
        <v>#DIV/0!</v>
      </c>
      <c r="C6" s="2145" t="s">
        <v>2071</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5" t="s">
        <v>2071</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2071</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2071</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2071</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2071</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2071</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2071</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6" zoomScale="70" zoomScaleNormal="80" zoomScaleSheetLayoutView="70"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0</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t="e">
        <f>C30</f>
        <v>#DIV/0!</v>
      </c>
      <c r="C2" s="1999" t="s">
        <v>1932</v>
      </c>
      <c r="D2" s="2000" t="s">
        <v>1933</v>
      </c>
      <c r="E2" s="3421" t="s">
        <v>21</v>
      </c>
      <c r="F2" s="2000" t="s">
        <v>1934</v>
      </c>
      <c r="G2" s="2001">
        <f>IF(E2="商业",项目基本情况!B37,IF(E2="办公",项目基本情况!C37,IF(E2="住宅",项目基本情况!D37,IF(E2="工业",项目基本情况!E37,项目基本情况!F37))))</f>
        <v>0</v>
      </c>
      <c r="H2" s="2000" t="s">
        <v>1935</v>
      </c>
      <c r="I2" s="2001">
        <f>IF(E2="商业",项目基本情况!B38,IF(E2="办公",项目基本情况!C38,IF(E2="住宅",项目基本情况!D38,IF(E2="工业",项目基本情况!E38,项目基本情况!F38))))</f>
        <v>0</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1937</v>
      </c>
      <c r="B3" s="204" t="e">
        <f>ROUND(B2*10000/D1,0)</f>
        <v>#DIV/0!</v>
      </c>
      <c r="C3" s="1999" t="s">
        <v>1938</v>
      </c>
      <c r="D3" s="2000" t="s">
        <v>1939</v>
      </c>
      <c r="E3" s="3419"/>
      <c r="F3" s="2004"/>
      <c r="G3" s="752">
        <f>IF(F3="宗地容积率",'数据-汇总表'!I4,IF(F3="估价对象容积率",'数据-汇总表'!I6,'数据-汇总表'!I7))</f>
        <v>0</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95"/>
      <c r="B4" s="3796"/>
      <c r="C4" s="3796"/>
      <c r="D4" s="3797"/>
      <c r="E4" s="3797"/>
      <c r="F4" s="3797"/>
      <c r="G4" s="3797"/>
      <c r="H4" s="3797"/>
      <c r="I4" s="3797"/>
      <c r="J4" s="3798"/>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t="e">
        <f>ROUND(IF(E2="商业",C6*C7*C17+C20,(IF(E2="住宅",C6*C13*C17+C20,IF(E2="办公",C6*C12*C17+C20,C6+C20)))),0)</f>
        <v>#DIV/0!</v>
      </c>
      <c r="D5" s="1339" t="e">
        <f>ROUND(C6*C17+C20,0)</f>
        <v>#DIV/0!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1949</v>
      </c>
      <c r="C7" s="755" t="e">
        <f>IF(C8="不临65条商业街",1,ROUND(1+(1.6*E8+1.2*E9+0.8*E10+0.4*E11)*C9,4))</f>
        <v>#DIV/0!</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1952</v>
      </c>
      <c r="X7" s="1214">
        <f>G2</f>
        <v>0</v>
      </c>
      <c r="Y7" s="1214" t="s">
        <v>1953</v>
      </c>
      <c r="Z7" s="1215">
        <f>G3</f>
        <v>0</v>
      </c>
      <c r="AA7" s="1216"/>
      <c r="AB7" s="1216"/>
      <c r="AC7" s="1217"/>
      <c r="AD7" s="1218"/>
      <c r="AE7" s="1218"/>
      <c r="AF7" s="1218"/>
      <c r="AG7" s="1218"/>
      <c r="AH7" s="1218"/>
      <c r="AI7" s="1218"/>
      <c r="AJ7" s="1219"/>
    </row>
    <row r="8" spans="1:36" ht="15">
      <c r="A8" s="3298"/>
      <c r="B8" s="170" t="s">
        <v>1954</v>
      </c>
      <c r="C8" s="2026"/>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92" t="s">
        <v>1957</v>
      </c>
      <c r="X8" s="3793"/>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8"/>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94"/>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9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1979</v>
      </c>
      <c r="C13" s="755">
        <f>ROUND(C16*D16*E16*F16*G16*H16*I16*J16,4)</f>
        <v>0</v>
      </c>
      <c r="D13" s="2035" t="s">
        <v>1980</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1982</v>
      </c>
      <c r="C14" s="2041" t="s">
        <v>1983</v>
      </c>
      <c r="D14" s="1350" t="s">
        <v>1984</v>
      </c>
      <c r="E14" s="27" t="s">
        <v>1985</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99" t="s">
        <v>3254</v>
      </c>
      <c r="B20" s="167" t="s">
        <v>1991</v>
      </c>
      <c r="C20" s="3324" t="e">
        <f>ROUND(IF(F21="与级别开发程度一致",0,(G21-E21)/C21),0)</f>
        <v>#DIV/0!</v>
      </c>
      <c r="D20" s="3340" t="s">
        <v>1995</v>
      </c>
      <c r="E20" s="3341"/>
      <c r="F20" s="3805" t="s">
        <v>1992</v>
      </c>
      <c r="G20" s="3806"/>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800"/>
      <c r="B21" s="2164" t="s">
        <v>1994</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1997</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1998</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1999</v>
      </c>
      <c r="E23" s="761">
        <v>44197</v>
      </c>
      <c r="F23" s="2054" t="s">
        <v>2000</v>
      </c>
      <c r="G23" s="762">
        <f>'数据-取费表'!B2</f>
        <v>45405</v>
      </c>
      <c r="H23" s="3342" t="s">
        <v>3256</v>
      </c>
      <c r="I23" s="3343" t="str">
        <f>IF(H23="季度增幅（自定义）",SUMIF(N25:N28,E2,O25:O28),"")</f>
        <v/>
      </c>
      <c r="J23" s="3445" t="s">
        <v>3255</v>
      </c>
      <c r="K23" s="1125"/>
      <c r="L23" s="2055" t="s">
        <v>2001</v>
      </c>
      <c r="M23" s="1328">
        <f>ROUND(SUMIF(地价!B2:G2,E2,地价!B16:G16),0)</f>
        <v>350</v>
      </c>
      <c r="N23" s="2056" t="s">
        <v>2002</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f>ROUND(POWER(1+G24,J24-I24)*(POWER(1+G24,I24)-1)/(POWER(1+G24,J24)-1),4)</f>
        <v>0.92349999999999999</v>
      </c>
      <c r="D24" s="2060" t="s">
        <v>2004</v>
      </c>
      <c r="E24" s="1335">
        <f>存贷款利率!E24/100</f>
        <v>4.3499999999999997E-2</v>
      </c>
      <c r="F24" s="2060" t="s">
        <v>1996</v>
      </c>
      <c r="G24" s="768">
        <f>SUMIF(M30:Q30,E2,M33:Q33)</f>
        <v>5.5E-2</v>
      </c>
      <c r="H24" s="2060" t="s">
        <v>2005</v>
      </c>
      <c r="I24" s="769">
        <f>SUMIF('数据-取费表'!C6:C15,E2,'数据-取费表'!F6:F15)/COUNTIF('数据-取费表'!C6:C15,E2)</f>
        <v>36.72</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2010</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1</v>
      </c>
      <c r="D28" s="2052"/>
      <c r="E28" s="2077"/>
      <c r="F28" s="2077"/>
      <c r="G28" s="2077"/>
      <c r="H28" s="2077"/>
      <c r="I28" s="2077"/>
      <c r="J28" s="2078"/>
      <c r="K28" s="1125"/>
      <c r="L28" s="2787"/>
      <c r="M28" s="2787"/>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4" t="s">
        <v>2020</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t="e">
        <f>IF(B25="容积率修正",E33+SUM(E37:E42),SUM(V2:V16)+SUM(E37:E42))</f>
        <v>#DIV/0!</v>
      </c>
      <c r="D30" s="2083"/>
      <c r="E30" s="2046"/>
      <c r="F30" s="2084"/>
      <c r="G30" s="2046"/>
      <c r="H30" s="2046"/>
      <c r="I30" s="2046"/>
      <c r="J30" s="2085"/>
      <c r="K30" s="1119"/>
      <c r="L30" s="3350" t="s">
        <v>1933</v>
      </c>
      <c r="M30" s="3351" t="s">
        <v>1987</v>
      </c>
      <c r="N30" s="3351" t="s">
        <v>1988</v>
      </c>
      <c r="O30" s="3351" t="s">
        <v>1989</v>
      </c>
      <c r="P30" s="3351" t="s">
        <v>1990</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t="e">
        <f>E34+SUM(I37:I42)</f>
        <v>#DIV/0!</v>
      </c>
      <c r="D31" s="2087"/>
      <c r="E31" s="2088"/>
      <c r="F31" s="2089"/>
      <c r="G31" s="2088"/>
      <c r="H31" s="2088"/>
      <c r="I31" s="2088"/>
      <c r="J31" s="2090"/>
      <c r="K31" s="1119"/>
      <c r="L31" s="3352" t="s">
        <v>1993</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3" t="s">
        <v>1996</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t="e">
        <f>ROUND(IF(E2="工业",C33*M42,IF(B25="楼层修正",SUM(V2:V16)*M41*10000/D34,C33*M41)),0)</f>
        <v>#DIV/0!</v>
      </c>
      <c r="D34" s="2103"/>
      <c r="E34" s="773" t="e">
        <f>ROUND(IF(B25="楼层修正",SUM(V2:V16)*M40,C34*D34/10000),0)</f>
        <v>#DIV/0!</v>
      </c>
      <c r="F34" s="2104" t="s">
        <v>2029</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6" t="s">
        <v>3261</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6" t="s">
        <v>3265</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03"/>
      <c r="B37" s="2113" t="s">
        <v>2033</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04"/>
      <c r="B38" s="2041" t="s">
        <v>2034</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4"/>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2118</v>
      </c>
      <c r="C44" s="342">
        <f>ROUND(POWER(1+E44,H44-G44)*(POWER(1+E44,G44)-1)/(POWER(1+E44,H44)-1),4)</f>
        <v>0</v>
      </c>
      <c r="D44" s="171" t="s">
        <v>1996</v>
      </c>
      <c r="E44" s="2153">
        <f>G24</f>
        <v>5.5E-2</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2051</v>
      </c>
      <c r="B53" s="2135" t="s">
        <v>2052</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2054</v>
      </c>
      <c r="B55" s="2136" t="s">
        <v>2055</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f>IF(E2="办公",SUMIF(L1:L12,G2,N1:N12),"——")</f>
        <v>0</v>
      </c>
      <c r="G61" s="1063"/>
      <c r="H61" s="1066">
        <f t="shared" ref="H61:H69" si="13">IFERROR(ROUNDDOWN($F$61*I61/2,4),"——")</f>
        <v>0</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f t="shared" si="13"/>
        <v>0</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f t="shared" si="13"/>
        <v>0</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2051</v>
      </c>
      <c r="B64" s="2135" t="s">
        <v>2052</v>
      </c>
      <c r="C64" s="2044"/>
      <c r="D64" s="1065">
        <f t="shared" si="12"/>
        <v>0</v>
      </c>
      <c r="E64" s="745"/>
      <c r="F64" s="1814"/>
      <c r="G64" s="1063"/>
      <c r="H64" s="1066">
        <f t="shared" si="13"/>
        <v>0</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2"/>
        <v>0</v>
      </c>
      <c r="E65" s="745"/>
      <c r="F65" s="1814"/>
      <c r="G65" s="1063"/>
      <c r="H65" s="1066">
        <f t="shared" si="13"/>
        <v>0</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2054</v>
      </c>
      <c r="B66" s="2136" t="s">
        <v>2055</v>
      </c>
      <c r="C66" s="2044"/>
      <c r="D66" s="1065">
        <f t="shared" si="12"/>
        <v>0</v>
      </c>
      <c r="E66" s="745"/>
      <c r="F66" s="1814"/>
      <c r="G66" s="1063"/>
      <c r="H66" s="1066">
        <f t="shared" si="13"/>
        <v>0</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c r="D67" s="1065">
        <f t="shared" si="12"/>
        <v>0</v>
      </c>
      <c r="E67" s="745"/>
      <c r="F67" s="1814"/>
      <c r="G67" s="1063"/>
      <c r="H67" s="1066">
        <f t="shared" si="13"/>
        <v>0</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c r="D68" s="1065">
        <f t="shared" si="12"/>
        <v>0</v>
      </c>
      <c r="E68" s="745"/>
      <c r="F68" s="1814"/>
      <c r="G68" s="1063"/>
      <c r="H68" s="1066">
        <f t="shared" si="13"/>
        <v>0</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c r="D69" s="1065">
        <f t="shared" si="12"/>
        <v>0</v>
      </c>
      <c r="E69" s="746"/>
      <c r="F69" s="1814"/>
      <c r="G69" s="1063"/>
      <c r="H69" s="1066">
        <f t="shared" si="13"/>
        <v>0</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2056</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2057</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2054</v>
      </c>
      <c r="B78" s="2136" t="s">
        <v>2055</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2058</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2065</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2066</v>
      </c>
      <c r="B81" s="2127">
        <f>1+E83</f>
        <v>1</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8.25">
      <c r="A83" s="2130" t="s">
        <v>2067</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2050</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2064</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2056</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2057</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2054</v>
      </c>
      <c r="B89" s="2136" t="s">
        <v>2068</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2069</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01" t="s">
        <v>3294</v>
      </c>
      <c r="B103" s="3801"/>
      <c r="C103" s="3801"/>
      <c r="D103" s="3801"/>
      <c r="E103" s="3801"/>
      <c r="F103" s="3801"/>
      <c r="G103" s="3801"/>
      <c r="H103" s="3801"/>
      <c r="I103" s="3801"/>
      <c r="J103" s="3801"/>
      <c r="K103" s="3389"/>
      <c r="L103" s="3389"/>
      <c r="M103" s="3389"/>
      <c r="N103" s="3389"/>
    </row>
    <row r="104" spans="1:14">
      <c r="A104" s="3802" t="s">
        <v>3295</v>
      </c>
      <c r="B104" s="3802" t="s">
        <v>3296</v>
      </c>
      <c r="C104" s="3390" t="s">
        <v>3297</v>
      </c>
      <c r="D104" s="3391"/>
      <c r="E104" s="3391"/>
      <c r="F104" s="3391"/>
      <c r="G104" s="3391"/>
      <c r="H104" s="3391"/>
      <c r="I104" s="3391"/>
      <c r="J104" s="3392"/>
      <c r="K104" s="3393"/>
      <c r="L104" s="3393"/>
      <c r="M104" s="3393"/>
      <c r="N104" s="3393"/>
    </row>
    <row r="105" spans="1:14">
      <c r="A105" s="3802"/>
      <c r="B105" s="3802"/>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88"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8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8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8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8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89"/>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9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91" t="s">
        <v>3311</v>
      </c>
      <c r="B113" s="3791"/>
      <c r="C113" s="3791"/>
      <c r="D113" s="3791"/>
      <c r="E113" s="3791"/>
      <c r="F113" s="3791"/>
      <c r="G113" s="3791"/>
      <c r="H113" s="3791"/>
      <c r="I113" s="3791"/>
      <c r="J113" s="379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t="str">
        <f>E2</f>
        <v>办公</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0" priority="6" stopIfTrue="1" operator="notEqual">
      <formula>"——"</formula>
    </cfRule>
  </conditionalFormatting>
  <conditionalFormatting sqref="F61">
    <cfRule type="cellIs" dxfId="39" priority="5" stopIfTrue="1" operator="notEqual">
      <formula>"——"</formula>
    </cfRule>
  </conditionalFormatting>
  <conditionalFormatting sqref="F72">
    <cfRule type="cellIs" dxfId="38" priority="4" stopIfTrue="1" operator="notEqual">
      <formula>"——"</formula>
    </cfRule>
  </conditionalFormatting>
  <conditionalFormatting sqref="F83">
    <cfRule type="cellIs" dxfId="37" priority="3" stopIfTrue="1" operator="notEqual">
      <formula>"——"</formula>
    </cfRule>
  </conditionalFormatting>
  <conditionalFormatting sqref="H50:H58 H61:H69 H72:H80 H83:H91">
    <cfRule type="cellIs" dxfId="36" priority="2" operator="notEqual">
      <formula>"——"</formula>
    </cfRule>
  </conditionalFormatting>
  <conditionalFormatting sqref="H93:H101">
    <cfRule type="cellIs" dxfId="3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16" t="s">
        <v>2607</v>
      </c>
      <c r="B20" s="3811" t="s">
        <v>2628</v>
      </c>
      <c r="C20" s="3102" t="s">
        <v>2439</v>
      </c>
      <c r="D20" s="3103"/>
      <c r="E20" s="3104">
        <v>1</v>
      </c>
      <c r="F20" s="3105" t="s">
        <v>2440</v>
      </c>
      <c r="G20" s="3105"/>
    </row>
    <row r="21" spans="1:13" ht="19.5" customHeight="1">
      <c r="A21" s="3817"/>
      <c r="B21" s="3810"/>
      <c r="C21" s="3106" t="s">
        <v>2441</v>
      </c>
      <c r="D21" s="3107"/>
      <c r="E21" s="3108">
        <v>1</v>
      </c>
      <c r="F21" s="3105" t="s">
        <v>2442</v>
      </c>
      <c r="G21" s="3105"/>
    </row>
    <row r="22" spans="1:13" ht="19.5" customHeight="1">
      <c r="A22" s="3817"/>
      <c r="B22" s="3810"/>
      <c r="C22" s="3106" t="s">
        <v>2443</v>
      </c>
      <c r="D22" s="3107"/>
      <c r="E22" s="3108">
        <v>0.9</v>
      </c>
      <c r="F22" s="3105" t="s">
        <v>2444</v>
      </c>
      <c r="G22" s="3105"/>
    </row>
    <row r="23" spans="1:13" ht="19.5" customHeight="1">
      <c r="A23" s="3817"/>
      <c r="B23" s="3810"/>
      <c r="C23" s="3106" t="s">
        <v>2445</v>
      </c>
      <c r="D23" s="3107"/>
      <c r="E23" s="3108">
        <v>0.9</v>
      </c>
      <c r="F23" s="3105" t="s">
        <v>2446</v>
      </c>
      <c r="G23" s="3105"/>
    </row>
    <row r="24" spans="1:13" ht="19.5" customHeight="1">
      <c r="A24" s="3817"/>
      <c r="B24" s="3810"/>
      <c r="C24" s="3106" t="s">
        <v>2447</v>
      </c>
      <c r="D24" s="3107"/>
      <c r="E24" s="3108">
        <v>0.8</v>
      </c>
      <c r="F24" s="3105" t="s">
        <v>2448</v>
      </c>
      <c r="G24" s="3105"/>
    </row>
    <row r="25" spans="1:13" ht="19.5" customHeight="1" thickBot="1">
      <c r="A25" s="3818"/>
      <c r="B25" s="3812"/>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813" t="s">
        <v>2631</v>
      </c>
      <c r="B27" s="3811" t="s">
        <v>2612</v>
      </c>
      <c r="C27" s="3102" t="s">
        <v>2452</v>
      </c>
      <c r="D27" s="3103"/>
      <c r="E27" s="3104">
        <v>1</v>
      </c>
      <c r="F27" s="3105" t="s">
        <v>2453</v>
      </c>
      <c r="G27" s="3105"/>
    </row>
    <row r="28" spans="1:13" ht="19.5" customHeight="1">
      <c r="A28" s="3814"/>
      <c r="B28" s="3810"/>
      <c r="C28" s="3106" t="s">
        <v>2454</v>
      </c>
      <c r="D28" s="3107"/>
      <c r="E28" s="3108">
        <v>1</v>
      </c>
      <c r="F28" s="3105" t="s">
        <v>2455</v>
      </c>
      <c r="G28" s="3105"/>
    </row>
    <row r="29" spans="1:13" ht="19.5" customHeight="1">
      <c r="A29" s="3814"/>
      <c r="B29" s="3810"/>
      <c r="C29" s="3106" t="s">
        <v>2456</v>
      </c>
      <c r="D29" s="3107"/>
      <c r="E29" s="3108">
        <v>0.8</v>
      </c>
      <c r="F29" s="3105" t="s">
        <v>2457</v>
      </c>
      <c r="G29" s="3105"/>
    </row>
    <row r="30" spans="1:13" ht="19.5" customHeight="1">
      <c r="A30" s="3814"/>
      <c r="B30" s="3810"/>
      <c r="C30" s="3106" t="s">
        <v>2458</v>
      </c>
      <c r="D30" s="3107"/>
      <c r="E30" s="3108">
        <v>0.8</v>
      </c>
      <c r="F30" s="3105" t="s">
        <v>2459</v>
      </c>
      <c r="G30" s="3105"/>
    </row>
    <row r="31" spans="1:13" ht="19.5" customHeight="1">
      <c r="A31" s="3814"/>
      <c r="B31" s="3810"/>
      <c r="C31" s="3106" t="s">
        <v>2460</v>
      </c>
      <c r="D31" s="3107"/>
      <c r="E31" s="3108">
        <v>0.8</v>
      </c>
      <c r="F31" s="3105" t="s">
        <v>2461</v>
      </c>
      <c r="G31" s="3105"/>
    </row>
    <row r="32" spans="1:13" ht="19.5" customHeight="1">
      <c r="A32" s="3814"/>
      <c r="B32" s="3810"/>
      <c r="C32" s="3106" t="s">
        <v>2462</v>
      </c>
      <c r="D32" s="3107"/>
      <c r="E32" s="3108">
        <v>0.7</v>
      </c>
      <c r="F32" s="3105" t="s">
        <v>2463</v>
      </c>
      <c r="G32" s="3105"/>
    </row>
    <row r="33" spans="1:7" ht="19.5" customHeight="1">
      <c r="A33" s="3814"/>
      <c r="B33" s="3810"/>
      <c r="C33" s="3106" t="s">
        <v>2464</v>
      </c>
      <c r="D33" s="3107"/>
      <c r="E33" s="3108">
        <v>0.8</v>
      </c>
      <c r="F33" s="3105" t="s">
        <v>2465</v>
      </c>
      <c r="G33" s="3105"/>
    </row>
    <row r="34" spans="1:7" ht="19.5" customHeight="1">
      <c r="A34" s="3814"/>
      <c r="B34" s="3810"/>
      <c r="C34" s="3106" t="s">
        <v>2466</v>
      </c>
      <c r="D34" s="3107"/>
      <c r="E34" s="3108">
        <v>0.6</v>
      </c>
      <c r="F34" s="3105" t="s">
        <v>2467</v>
      </c>
      <c r="G34" s="3105"/>
    </row>
    <row r="35" spans="1:7" ht="19.5" customHeight="1">
      <c r="A35" s="3814"/>
      <c r="B35" s="3810"/>
      <c r="C35" s="3106" t="s">
        <v>2468</v>
      </c>
      <c r="D35" s="3107"/>
      <c r="E35" s="3108">
        <v>0.2</v>
      </c>
      <c r="F35" s="3105" t="s">
        <v>2469</v>
      </c>
      <c r="G35" s="3105"/>
    </row>
    <row r="36" spans="1:7" ht="19.5" customHeight="1">
      <c r="A36" s="3814"/>
      <c r="B36" s="3810"/>
      <c r="C36" s="3106" t="s">
        <v>2470</v>
      </c>
      <c r="D36" s="3107"/>
      <c r="E36" s="3108">
        <v>0.2</v>
      </c>
      <c r="F36" s="3105" t="s">
        <v>2471</v>
      </c>
      <c r="G36" s="3105"/>
    </row>
    <row r="37" spans="1:7" ht="19.5" customHeight="1">
      <c r="A37" s="3814"/>
      <c r="B37" s="3808" t="s">
        <v>2632</v>
      </c>
      <c r="C37" s="3106" t="s">
        <v>2472</v>
      </c>
      <c r="D37" s="3107"/>
      <c r="E37" s="3108">
        <v>0.6</v>
      </c>
      <c r="F37" s="3105" t="s">
        <v>2473</v>
      </c>
      <c r="G37" s="3105"/>
    </row>
    <row r="38" spans="1:7" ht="19.5" customHeight="1">
      <c r="A38" s="3814"/>
      <c r="B38" s="3810"/>
      <c r="C38" s="3106" t="s">
        <v>2474</v>
      </c>
      <c r="D38" s="3107"/>
      <c r="E38" s="3108">
        <v>0.6</v>
      </c>
      <c r="F38" s="3105" t="s">
        <v>2475</v>
      </c>
      <c r="G38" s="3105"/>
    </row>
    <row r="39" spans="1:7" ht="19.5" customHeight="1" thickBot="1">
      <c r="A39" s="3815"/>
      <c r="B39" s="3812"/>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816" t="s">
        <v>2610</v>
      </c>
      <c r="B41" s="3811" t="s">
        <v>2634</v>
      </c>
      <c r="C41" s="3102" t="s">
        <v>2479</v>
      </c>
      <c r="D41" s="3103"/>
      <c r="E41" s="3104">
        <v>1</v>
      </c>
      <c r="F41" s="3105" t="s">
        <v>2480</v>
      </c>
      <c r="G41" s="3105"/>
    </row>
    <row r="42" spans="1:7" ht="19.5" customHeight="1">
      <c r="A42" s="3817"/>
      <c r="B42" s="3810"/>
      <c r="C42" s="3106" t="s">
        <v>2481</v>
      </c>
      <c r="D42" s="3107"/>
      <c r="E42" s="3108">
        <v>1</v>
      </c>
      <c r="F42" s="3105" t="s">
        <v>2482</v>
      </c>
      <c r="G42" s="3105"/>
    </row>
    <row r="43" spans="1:7" ht="19.5" customHeight="1">
      <c r="A43" s="3817"/>
      <c r="B43" s="3809"/>
      <c r="C43" s="3106" t="s">
        <v>2483</v>
      </c>
      <c r="D43" s="3107"/>
      <c r="E43" s="3108">
        <v>1.5</v>
      </c>
      <c r="F43" s="3105" t="s">
        <v>2484</v>
      </c>
      <c r="G43" s="3105"/>
    </row>
    <row r="44" spans="1:7" ht="19.5" customHeight="1">
      <c r="A44" s="3817"/>
      <c r="B44" s="3117" t="s">
        <v>2635</v>
      </c>
      <c r="C44" s="3106" t="s">
        <v>2636</v>
      </c>
      <c r="D44" s="3107"/>
      <c r="E44" s="3108">
        <v>2</v>
      </c>
      <c r="F44" s="3105" t="s">
        <v>2485</v>
      </c>
      <c r="G44" s="3105"/>
    </row>
    <row r="45" spans="1:7" ht="19.5" customHeight="1">
      <c r="A45" s="3817"/>
      <c r="B45" s="3808" t="s">
        <v>2637</v>
      </c>
      <c r="C45" s="3106" t="s">
        <v>2486</v>
      </c>
      <c r="D45" s="3107"/>
      <c r="E45" s="3108">
        <v>1</v>
      </c>
      <c r="F45" s="3105" t="s">
        <v>2487</v>
      </c>
      <c r="G45" s="3105"/>
    </row>
    <row r="46" spans="1:7" ht="19.5" customHeight="1">
      <c r="A46" s="3817"/>
      <c r="B46" s="3810"/>
      <c r="C46" s="3106" t="s">
        <v>2488</v>
      </c>
      <c r="D46" s="3107"/>
      <c r="E46" s="3108">
        <v>1</v>
      </c>
      <c r="F46" s="3105" t="s">
        <v>2489</v>
      </c>
      <c r="G46" s="3105"/>
    </row>
    <row r="47" spans="1:7" ht="19.5" customHeight="1">
      <c r="A47" s="3817"/>
      <c r="B47" s="3810"/>
      <c r="C47" s="3106" t="s">
        <v>2490</v>
      </c>
      <c r="D47" s="3107"/>
      <c r="E47" s="3108">
        <v>1</v>
      </c>
      <c r="F47" s="3105" t="s">
        <v>2491</v>
      </c>
      <c r="G47" s="3105"/>
    </row>
    <row r="48" spans="1:7" ht="19.5" customHeight="1">
      <c r="A48" s="3817"/>
      <c r="B48" s="3810"/>
      <c r="C48" s="3106" t="s">
        <v>2492</v>
      </c>
      <c r="D48" s="3107"/>
      <c r="E48" s="3108">
        <v>1</v>
      </c>
      <c r="F48" s="3105" t="s">
        <v>2493</v>
      </c>
      <c r="G48" s="3105"/>
    </row>
    <row r="49" spans="1:7" ht="19.5" customHeight="1">
      <c r="A49" s="3817"/>
      <c r="B49" s="3810"/>
      <c r="C49" s="3106" t="s">
        <v>2494</v>
      </c>
      <c r="D49" s="3107"/>
      <c r="E49" s="3108">
        <v>1</v>
      </c>
      <c r="F49" s="3105" t="s">
        <v>2495</v>
      </c>
      <c r="G49" s="3105"/>
    </row>
    <row r="50" spans="1:7" ht="19.5" customHeight="1">
      <c r="A50" s="3817"/>
      <c r="B50" s="3810"/>
      <c r="C50" s="3106" t="s">
        <v>2496</v>
      </c>
      <c r="D50" s="3107"/>
      <c r="E50" s="3108">
        <v>1</v>
      </c>
      <c r="F50" s="3105" t="s">
        <v>2497</v>
      </c>
      <c r="G50" s="3105"/>
    </row>
    <row r="51" spans="1:7" ht="19.5" customHeight="1" thickBot="1">
      <c r="A51" s="3818"/>
      <c r="B51" s="3812"/>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808" t="s">
        <v>2651</v>
      </c>
      <c r="C73" s="3091" t="s">
        <v>2652</v>
      </c>
      <c r="D73" s="3091" t="s">
        <v>2653</v>
      </c>
      <c r="E73" s="3117">
        <v>0.2</v>
      </c>
      <c r="F73" s="3117">
        <v>25</v>
      </c>
    </row>
    <row r="74" spans="1:7" ht="24">
      <c r="A74" s="3117">
        <v>2</v>
      </c>
      <c r="B74" s="3810"/>
      <c r="C74" s="3091" t="s">
        <v>2654</v>
      </c>
      <c r="D74" s="3091" t="s">
        <v>2655</v>
      </c>
      <c r="E74" s="3117">
        <v>0.2</v>
      </c>
      <c r="F74" s="3117">
        <v>25</v>
      </c>
    </row>
    <row r="75" spans="1:7" ht="24">
      <c r="A75" s="3117">
        <v>3</v>
      </c>
      <c r="B75" s="3810"/>
      <c r="C75" s="3091" t="s">
        <v>2656</v>
      </c>
      <c r="D75" s="3091" t="s">
        <v>2657</v>
      </c>
      <c r="E75" s="3117">
        <v>0.2</v>
      </c>
      <c r="F75" s="3117">
        <v>25</v>
      </c>
    </row>
    <row r="76" spans="1:7" ht="13.5">
      <c r="A76" s="3117">
        <v>4</v>
      </c>
      <c r="B76" s="3810"/>
      <c r="C76" s="3091" t="s">
        <v>2658</v>
      </c>
      <c r="D76" s="3091" t="s">
        <v>2659</v>
      </c>
      <c r="E76" s="3117">
        <v>0.15</v>
      </c>
      <c r="F76" s="3117">
        <v>20</v>
      </c>
    </row>
    <row r="77" spans="1:7" ht="24">
      <c r="A77" s="3117">
        <v>5</v>
      </c>
      <c r="B77" s="3810"/>
      <c r="C77" s="3091" t="s">
        <v>2660</v>
      </c>
      <c r="D77" s="3091" t="s">
        <v>2661</v>
      </c>
      <c r="E77" s="3117">
        <v>0.15</v>
      </c>
      <c r="F77" s="3117">
        <v>20</v>
      </c>
    </row>
    <row r="78" spans="1:7" ht="24">
      <c r="A78" s="3117">
        <v>6</v>
      </c>
      <c r="B78" s="3810"/>
      <c r="C78" s="3091" t="s">
        <v>2662</v>
      </c>
      <c r="D78" s="3091" t="s">
        <v>2663</v>
      </c>
      <c r="E78" s="3117">
        <v>0.15</v>
      </c>
      <c r="F78" s="3117">
        <v>20</v>
      </c>
    </row>
    <row r="79" spans="1:7" ht="24">
      <c r="A79" s="3117">
        <v>7</v>
      </c>
      <c r="B79" s="3810"/>
      <c r="C79" s="3091" t="s">
        <v>2664</v>
      </c>
      <c r="D79" s="3091" t="s">
        <v>2665</v>
      </c>
      <c r="E79" s="3117">
        <v>0.15</v>
      </c>
      <c r="F79" s="3117">
        <v>20</v>
      </c>
    </row>
    <row r="80" spans="1:7" ht="24">
      <c r="A80" s="3117">
        <v>8</v>
      </c>
      <c r="B80" s="3810"/>
      <c r="C80" s="3091" t="s">
        <v>2666</v>
      </c>
      <c r="D80" s="3091" t="s">
        <v>2667</v>
      </c>
      <c r="E80" s="3117">
        <v>0.1</v>
      </c>
      <c r="F80" s="3117">
        <v>15</v>
      </c>
    </row>
    <row r="81" spans="1:6" ht="24">
      <c r="A81" s="3117">
        <v>9</v>
      </c>
      <c r="B81" s="3810"/>
      <c r="C81" s="3091" t="s">
        <v>2668</v>
      </c>
      <c r="D81" s="3091" t="s">
        <v>2669</v>
      </c>
      <c r="E81" s="3117">
        <v>0.1</v>
      </c>
      <c r="F81" s="3117">
        <v>15</v>
      </c>
    </row>
    <row r="82" spans="1:6" ht="24">
      <c r="A82" s="3117">
        <v>10</v>
      </c>
      <c r="B82" s="3810"/>
      <c r="C82" s="3091" t="s">
        <v>2670</v>
      </c>
      <c r="D82" s="3091" t="s">
        <v>2671</v>
      </c>
      <c r="E82" s="3117">
        <v>0.1</v>
      </c>
      <c r="F82" s="3117">
        <v>15</v>
      </c>
    </row>
    <row r="83" spans="1:6" ht="24">
      <c r="A83" s="3117">
        <v>11</v>
      </c>
      <c r="B83" s="3810"/>
      <c r="C83" s="3091" t="s">
        <v>2672</v>
      </c>
      <c r="D83" s="3091" t="s">
        <v>2673</v>
      </c>
      <c r="E83" s="3117">
        <v>0.1</v>
      </c>
      <c r="F83" s="3117">
        <v>15</v>
      </c>
    </row>
    <row r="84" spans="1:6" ht="24">
      <c r="A84" s="3117">
        <v>12</v>
      </c>
      <c r="B84" s="3810"/>
      <c r="C84" s="3091" t="s">
        <v>2674</v>
      </c>
      <c r="D84" s="3091" t="s">
        <v>2675</v>
      </c>
      <c r="E84" s="3117">
        <v>0.1</v>
      </c>
      <c r="F84" s="3117">
        <v>15</v>
      </c>
    </row>
    <row r="85" spans="1:6" ht="13.5">
      <c r="A85" s="3117">
        <v>13</v>
      </c>
      <c r="B85" s="3810"/>
      <c r="C85" s="3091" t="s">
        <v>2676</v>
      </c>
      <c r="D85" s="3091" t="s">
        <v>2677</v>
      </c>
      <c r="E85" s="3117">
        <v>0.1</v>
      </c>
      <c r="F85" s="3117">
        <v>15</v>
      </c>
    </row>
    <row r="86" spans="1:6" ht="13.5">
      <c r="A86" s="3117">
        <v>14</v>
      </c>
      <c r="B86" s="3810"/>
      <c r="C86" s="3091" t="s">
        <v>2678</v>
      </c>
      <c r="D86" s="3091" t="s">
        <v>2679</v>
      </c>
      <c r="E86" s="3117">
        <v>0.1</v>
      </c>
      <c r="F86" s="3117">
        <v>15</v>
      </c>
    </row>
    <row r="87" spans="1:6" ht="13.5">
      <c r="A87" s="3117">
        <v>15</v>
      </c>
      <c r="B87" s="3810"/>
      <c r="C87" s="3091" t="s">
        <v>2680</v>
      </c>
      <c r="D87" s="3091" t="s">
        <v>2681</v>
      </c>
      <c r="E87" s="3117">
        <v>0.1</v>
      </c>
      <c r="F87" s="3117">
        <v>15</v>
      </c>
    </row>
    <row r="88" spans="1:6" ht="24">
      <c r="A88" s="3117">
        <v>16</v>
      </c>
      <c r="B88" s="3810"/>
      <c r="C88" s="3091" t="s">
        <v>2682</v>
      </c>
      <c r="D88" s="3091" t="s">
        <v>2683</v>
      </c>
      <c r="E88" s="3117">
        <v>0.1</v>
      </c>
      <c r="F88" s="3117">
        <v>15</v>
      </c>
    </row>
    <row r="89" spans="1:6" ht="24">
      <c r="A89" s="3117">
        <v>17</v>
      </c>
      <c r="B89" s="3809"/>
      <c r="C89" s="3091" t="s">
        <v>2684</v>
      </c>
      <c r="D89" s="3091" t="s">
        <v>2685</v>
      </c>
      <c r="E89" s="3117">
        <v>0.1</v>
      </c>
      <c r="F89" s="3117">
        <v>15</v>
      </c>
    </row>
    <row r="90" spans="1:6" ht="13.5">
      <c r="A90" s="3117">
        <v>18</v>
      </c>
      <c r="B90" s="3808" t="s">
        <v>2686</v>
      </c>
      <c r="C90" s="3091" t="s">
        <v>2687</v>
      </c>
      <c r="D90" s="3091" t="s">
        <v>2688</v>
      </c>
      <c r="E90" s="3117">
        <v>0.2</v>
      </c>
      <c r="F90" s="3117">
        <v>25</v>
      </c>
    </row>
    <row r="91" spans="1:6" ht="24">
      <c r="A91" s="3117">
        <v>19</v>
      </c>
      <c r="B91" s="3810"/>
      <c r="C91" s="3091" t="s">
        <v>2689</v>
      </c>
      <c r="D91" s="3091" t="s">
        <v>2690</v>
      </c>
      <c r="E91" s="3117">
        <v>0.2</v>
      </c>
      <c r="F91" s="3117">
        <v>25</v>
      </c>
    </row>
    <row r="92" spans="1:6" ht="13.5">
      <c r="A92" s="3117">
        <v>20</v>
      </c>
      <c r="B92" s="3810"/>
      <c r="C92" s="3091" t="s">
        <v>2691</v>
      </c>
      <c r="D92" s="3091" t="s">
        <v>2692</v>
      </c>
      <c r="E92" s="3117">
        <v>0.15</v>
      </c>
      <c r="F92" s="3117">
        <v>20</v>
      </c>
    </row>
    <row r="93" spans="1:6" ht="13.5">
      <c r="A93" s="3117">
        <v>21</v>
      </c>
      <c r="B93" s="3810"/>
      <c r="C93" s="3091" t="s">
        <v>2693</v>
      </c>
      <c r="D93" s="3091" t="s">
        <v>2694</v>
      </c>
      <c r="E93" s="3117">
        <v>0.15</v>
      </c>
      <c r="F93" s="3117">
        <v>20</v>
      </c>
    </row>
    <row r="94" spans="1:6" ht="13.5">
      <c r="A94" s="3117">
        <v>22</v>
      </c>
      <c r="B94" s="3810"/>
      <c r="C94" s="3091" t="s">
        <v>2695</v>
      </c>
      <c r="D94" s="3091" t="s">
        <v>2696</v>
      </c>
      <c r="E94" s="3117">
        <v>0.15</v>
      </c>
      <c r="F94" s="3117">
        <v>20</v>
      </c>
    </row>
    <row r="95" spans="1:6" ht="36">
      <c r="A95" s="3117">
        <v>23</v>
      </c>
      <c r="B95" s="3810"/>
      <c r="C95" s="3091" t="s">
        <v>2697</v>
      </c>
      <c r="D95" s="3091" t="s">
        <v>2698</v>
      </c>
      <c r="E95" s="3117">
        <v>0.15</v>
      </c>
      <c r="F95" s="3117">
        <v>20</v>
      </c>
    </row>
    <row r="96" spans="1:6" ht="13.5">
      <c r="A96" s="3117">
        <v>24</v>
      </c>
      <c r="B96" s="3810"/>
      <c r="C96" s="3091" t="s">
        <v>2699</v>
      </c>
      <c r="D96" s="3091" t="s">
        <v>2700</v>
      </c>
      <c r="E96" s="3117">
        <v>0.1</v>
      </c>
      <c r="F96" s="3117">
        <v>15</v>
      </c>
    </row>
    <row r="97" spans="1:6" ht="13.5">
      <c r="A97" s="3117">
        <v>25</v>
      </c>
      <c r="B97" s="3810"/>
      <c r="C97" s="3091" t="s">
        <v>2701</v>
      </c>
      <c r="D97" s="3091" t="s">
        <v>2702</v>
      </c>
      <c r="E97" s="3117">
        <v>0.1</v>
      </c>
      <c r="F97" s="3117">
        <v>15</v>
      </c>
    </row>
    <row r="98" spans="1:6" ht="24">
      <c r="A98" s="3117">
        <v>26</v>
      </c>
      <c r="B98" s="3810"/>
      <c r="C98" s="3091" t="s">
        <v>2703</v>
      </c>
      <c r="D98" s="3091" t="s">
        <v>2704</v>
      </c>
      <c r="E98" s="3117">
        <v>0.1</v>
      </c>
      <c r="F98" s="3117">
        <v>15</v>
      </c>
    </row>
    <row r="99" spans="1:6" ht="24">
      <c r="A99" s="3117">
        <v>27</v>
      </c>
      <c r="B99" s="3810"/>
      <c r="C99" s="3091" t="s">
        <v>2705</v>
      </c>
      <c r="D99" s="3091" t="s">
        <v>2706</v>
      </c>
      <c r="E99" s="3117">
        <v>0.1</v>
      </c>
      <c r="F99" s="3117">
        <v>15</v>
      </c>
    </row>
    <row r="100" spans="1:6" ht="13.5">
      <c r="A100" s="3117">
        <v>28</v>
      </c>
      <c r="B100" s="3810"/>
      <c r="C100" s="3091" t="s">
        <v>2707</v>
      </c>
      <c r="D100" s="3091" t="s">
        <v>2708</v>
      </c>
      <c r="E100" s="3117">
        <v>0.1</v>
      </c>
      <c r="F100" s="3117">
        <v>15</v>
      </c>
    </row>
    <row r="101" spans="1:6" ht="13.5">
      <c r="A101" s="3117">
        <v>29</v>
      </c>
      <c r="B101" s="3810"/>
      <c r="C101" s="3091" t="s">
        <v>2709</v>
      </c>
      <c r="D101" s="3091" t="s">
        <v>2710</v>
      </c>
      <c r="E101" s="3117">
        <v>0.1</v>
      </c>
      <c r="F101" s="3117">
        <v>15</v>
      </c>
    </row>
    <row r="102" spans="1:6" ht="13.5">
      <c r="A102" s="3117">
        <v>30</v>
      </c>
      <c r="B102" s="3810"/>
      <c r="C102" s="3091" t="s">
        <v>2711</v>
      </c>
      <c r="D102" s="3091" t="s">
        <v>2712</v>
      </c>
      <c r="E102" s="3117">
        <v>0.1</v>
      </c>
      <c r="F102" s="3117">
        <v>15</v>
      </c>
    </row>
    <row r="103" spans="1:6" ht="24">
      <c r="A103" s="3117">
        <v>31</v>
      </c>
      <c r="B103" s="3810"/>
      <c r="C103" s="3091" t="s">
        <v>2713</v>
      </c>
      <c r="D103" s="3091" t="s">
        <v>2714</v>
      </c>
      <c r="E103" s="3117">
        <v>0.1</v>
      </c>
      <c r="F103" s="3117">
        <v>15</v>
      </c>
    </row>
    <row r="104" spans="1:6" ht="24">
      <c r="A104" s="3117">
        <v>32</v>
      </c>
      <c r="B104" s="3810"/>
      <c r="C104" s="3091" t="s">
        <v>2715</v>
      </c>
      <c r="D104" s="3091" t="s">
        <v>2716</v>
      </c>
      <c r="E104" s="3117">
        <v>0.1</v>
      </c>
      <c r="F104" s="3117">
        <v>15</v>
      </c>
    </row>
    <row r="105" spans="1:6" ht="24">
      <c r="A105" s="3117">
        <v>33</v>
      </c>
      <c r="B105" s="3810"/>
      <c r="C105" s="3091" t="s">
        <v>2717</v>
      </c>
      <c r="D105" s="3091" t="s">
        <v>2718</v>
      </c>
      <c r="E105" s="3117">
        <v>0.1</v>
      </c>
      <c r="F105" s="3117">
        <v>15</v>
      </c>
    </row>
    <row r="106" spans="1:6" ht="24">
      <c r="A106" s="3117">
        <v>34</v>
      </c>
      <c r="B106" s="3809"/>
      <c r="C106" s="3091" t="s">
        <v>2719</v>
      </c>
      <c r="D106" s="3091" t="s">
        <v>2720</v>
      </c>
      <c r="E106" s="3117">
        <v>0.1</v>
      </c>
      <c r="F106" s="3117">
        <v>15</v>
      </c>
    </row>
    <row r="107" spans="1:6" ht="24">
      <c r="A107" s="3117">
        <v>35</v>
      </c>
      <c r="B107" s="3808" t="s">
        <v>2721</v>
      </c>
      <c r="C107" s="3117" t="s">
        <v>2722</v>
      </c>
      <c r="D107" s="3091" t="s">
        <v>2723</v>
      </c>
      <c r="E107" s="3117">
        <v>0.15</v>
      </c>
      <c r="F107" s="3117">
        <v>20</v>
      </c>
    </row>
    <row r="108" spans="1:6" ht="13.5">
      <c r="A108" s="3117">
        <v>36</v>
      </c>
      <c r="B108" s="3810"/>
      <c r="C108" s="3117" t="s">
        <v>2724</v>
      </c>
      <c r="D108" s="3091" t="s">
        <v>2725</v>
      </c>
      <c r="E108" s="3117">
        <v>0.15</v>
      </c>
      <c r="F108" s="3117">
        <v>20</v>
      </c>
    </row>
    <row r="109" spans="1:6" ht="13.5">
      <c r="A109" s="3117">
        <v>37</v>
      </c>
      <c r="B109" s="3810"/>
      <c r="C109" s="3117" t="s">
        <v>2726</v>
      </c>
      <c r="D109" s="3091" t="s">
        <v>2727</v>
      </c>
      <c r="E109" s="3117">
        <v>0.15</v>
      </c>
      <c r="F109" s="3117">
        <v>20</v>
      </c>
    </row>
    <row r="110" spans="1:6" ht="13.5">
      <c r="A110" s="3117">
        <v>38</v>
      </c>
      <c r="B110" s="3810"/>
      <c r="C110" s="3117" t="s">
        <v>2728</v>
      </c>
      <c r="D110" s="3091" t="s">
        <v>2729</v>
      </c>
      <c r="E110" s="3117">
        <v>0.1</v>
      </c>
      <c r="F110" s="3117">
        <v>15</v>
      </c>
    </row>
    <row r="111" spans="1:6" ht="24">
      <c r="A111" s="3117">
        <v>39</v>
      </c>
      <c r="B111" s="3810"/>
      <c r="C111" s="3117" t="s">
        <v>2730</v>
      </c>
      <c r="D111" s="3091" t="s">
        <v>2731</v>
      </c>
      <c r="E111" s="3117">
        <v>0.1</v>
      </c>
      <c r="F111" s="3117">
        <v>15</v>
      </c>
    </row>
    <row r="112" spans="1:6" ht="24">
      <c r="A112" s="3117">
        <v>40</v>
      </c>
      <c r="B112" s="3809"/>
      <c r="C112" s="3117" t="s">
        <v>2732</v>
      </c>
      <c r="D112" s="3091" t="s">
        <v>2733</v>
      </c>
      <c r="E112" s="3117">
        <v>0.1</v>
      </c>
      <c r="F112" s="3117">
        <v>15</v>
      </c>
    </row>
    <row r="113" spans="1:6" ht="13.5">
      <c r="A113" s="3117">
        <v>41</v>
      </c>
      <c r="B113" s="3807" t="s">
        <v>2734</v>
      </c>
      <c r="C113" s="3117" t="s">
        <v>2735</v>
      </c>
      <c r="D113" s="3091" t="s">
        <v>2736</v>
      </c>
      <c r="E113" s="3117">
        <v>0.1</v>
      </c>
      <c r="F113" s="3117">
        <v>15</v>
      </c>
    </row>
    <row r="114" spans="1:6" ht="13.5">
      <c r="A114" s="3117">
        <v>42</v>
      </c>
      <c r="B114" s="3807"/>
      <c r="C114" s="3117" t="s">
        <v>2737</v>
      </c>
      <c r="D114" s="3091" t="s">
        <v>2738</v>
      </c>
      <c r="E114" s="3117">
        <v>0.1</v>
      </c>
      <c r="F114" s="3117">
        <v>15</v>
      </c>
    </row>
    <row r="115" spans="1:6" ht="24">
      <c r="A115" s="3117">
        <v>43</v>
      </c>
      <c r="B115" s="3807"/>
      <c r="C115" s="3117" t="s">
        <v>2739</v>
      </c>
      <c r="D115" s="3091" t="s">
        <v>2740</v>
      </c>
      <c r="E115" s="3117">
        <v>0.1</v>
      </c>
      <c r="F115" s="3117">
        <v>15</v>
      </c>
    </row>
    <row r="116" spans="1:6" ht="13.5">
      <c r="A116" s="3117">
        <v>44</v>
      </c>
      <c r="B116" s="3808" t="s">
        <v>2741</v>
      </c>
      <c r="C116" s="3117" t="s">
        <v>2742</v>
      </c>
      <c r="D116" s="3091" t="s">
        <v>2743</v>
      </c>
      <c r="E116" s="3117">
        <v>0.1</v>
      </c>
      <c r="F116" s="3117">
        <v>15</v>
      </c>
    </row>
    <row r="117" spans="1:6" ht="24">
      <c r="A117" s="3117">
        <v>45</v>
      </c>
      <c r="B117" s="3809"/>
      <c r="C117" s="3091" t="s">
        <v>2744</v>
      </c>
      <c r="D117" s="3091" t="s">
        <v>2745</v>
      </c>
      <c r="E117" s="3117">
        <v>0.1</v>
      </c>
      <c r="F117" s="3117">
        <v>15</v>
      </c>
    </row>
    <row r="118" spans="1:6" ht="24">
      <c r="A118" s="3117">
        <v>46</v>
      </c>
      <c r="B118" s="3808" t="s">
        <v>2746</v>
      </c>
      <c r="C118" s="3117" t="s">
        <v>2747</v>
      </c>
      <c r="D118" s="3091" t="s">
        <v>2748</v>
      </c>
      <c r="E118" s="3117">
        <v>0.1</v>
      </c>
      <c r="F118" s="3117">
        <v>15</v>
      </c>
    </row>
    <row r="119" spans="1:6" ht="24">
      <c r="A119" s="3117">
        <v>47</v>
      </c>
      <c r="B119" s="3809"/>
      <c r="C119" s="3117" t="s">
        <v>2749</v>
      </c>
      <c r="D119" s="3091" t="s">
        <v>2750</v>
      </c>
      <c r="E119" s="3117">
        <v>0.1</v>
      </c>
      <c r="F119" s="3117">
        <v>15</v>
      </c>
    </row>
    <row r="120" spans="1:6" ht="13.5">
      <c r="A120" s="3117">
        <v>48</v>
      </c>
      <c r="B120" s="3808" t="s">
        <v>2751</v>
      </c>
      <c r="C120" s="3117" t="s">
        <v>2752</v>
      </c>
      <c r="D120" s="3091" t="s">
        <v>2753</v>
      </c>
      <c r="E120" s="3117">
        <v>0.1</v>
      </c>
      <c r="F120" s="3117">
        <v>15</v>
      </c>
    </row>
    <row r="121" spans="1:6" ht="13.5">
      <c r="A121" s="3117">
        <v>49</v>
      </c>
      <c r="B121" s="3809"/>
      <c r="C121" s="3117" t="s">
        <v>2754</v>
      </c>
      <c r="D121" s="3091" t="s">
        <v>2755</v>
      </c>
      <c r="E121" s="3117">
        <v>0.1</v>
      </c>
      <c r="F121" s="3117">
        <v>15</v>
      </c>
    </row>
    <row r="122" spans="1:6" ht="24">
      <c r="A122" s="3117">
        <v>50</v>
      </c>
      <c r="B122" s="3807" t="s">
        <v>2756</v>
      </c>
      <c r="C122" s="3117" t="s">
        <v>2757</v>
      </c>
      <c r="D122" s="3091" t="s">
        <v>2758</v>
      </c>
      <c r="E122" s="3117">
        <v>0.1</v>
      </c>
      <c r="F122" s="3117">
        <v>15</v>
      </c>
    </row>
    <row r="123" spans="1:6" ht="24">
      <c r="A123" s="3117">
        <v>51</v>
      </c>
      <c r="B123" s="3807"/>
      <c r="C123" s="3117" t="s">
        <v>2759</v>
      </c>
      <c r="D123" s="3091" t="s">
        <v>2760</v>
      </c>
      <c r="E123" s="3117">
        <v>0.1</v>
      </c>
      <c r="F123" s="3117">
        <v>15</v>
      </c>
    </row>
    <row r="124" spans="1:6" ht="24">
      <c r="A124" s="3117">
        <v>52</v>
      </c>
      <c r="B124" s="3807" t="s">
        <v>2761</v>
      </c>
      <c r="C124" s="3117" t="s">
        <v>2762</v>
      </c>
      <c r="D124" s="3091" t="s">
        <v>2763</v>
      </c>
      <c r="E124" s="3117">
        <v>0.1</v>
      </c>
      <c r="F124" s="3117">
        <v>15</v>
      </c>
    </row>
    <row r="125" spans="1:6" ht="24">
      <c r="A125" s="3117">
        <v>53</v>
      </c>
      <c r="B125" s="3807"/>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807" t="s">
        <v>2769</v>
      </c>
      <c r="C127" s="3117" t="s">
        <v>2770</v>
      </c>
      <c r="D127" s="3091" t="s">
        <v>2771</v>
      </c>
      <c r="E127" s="3117">
        <v>0.1</v>
      </c>
      <c r="F127" s="3117">
        <v>15</v>
      </c>
    </row>
    <row r="128" spans="1:6" ht="13.5">
      <c r="A128" s="3117">
        <v>56</v>
      </c>
      <c r="B128" s="3807"/>
      <c r="C128" s="3117" t="s">
        <v>2772</v>
      </c>
      <c r="D128" s="3091" t="s">
        <v>2773</v>
      </c>
      <c r="E128" s="3117">
        <v>0.1</v>
      </c>
      <c r="F128" s="3117">
        <v>15</v>
      </c>
    </row>
    <row r="129" spans="1:6" ht="24">
      <c r="A129" s="3117">
        <v>57</v>
      </c>
      <c r="B129" s="3807"/>
      <c r="C129" s="3117" t="s">
        <v>2774</v>
      </c>
      <c r="D129" s="3091" t="s">
        <v>2775</v>
      </c>
      <c r="E129" s="3117">
        <v>0.1</v>
      </c>
      <c r="F129" s="3117">
        <v>15</v>
      </c>
    </row>
    <row r="130" spans="1:6" ht="24">
      <c r="A130" s="3117">
        <v>58</v>
      </c>
      <c r="B130" s="3807" t="s">
        <v>2776</v>
      </c>
      <c r="C130" s="3117" t="s">
        <v>2777</v>
      </c>
      <c r="D130" s="3091" t="s">
        <v>2778</v>
      </c>
      <c r="E130" s="3117">
        <v>0.1</v>
      </c>
      <c r="F130" s="3117">
        <v>15</v>
      </c>
    </row>
    <row r="131" spans="1:6" ht="13.5">
      <c r="A131" s="3117">
        <v>59</v>
      </c>
      <c r="B131" s="3807"/>
      <c r="C131" s="3117" t="s">
        <v>2779</v>
      </c>
      <c r="D131" s="3091" t="s">
        <v>2780</v>
      </c>
      <c r="E131" s="3117">
        <v>0.1</v>
      </c>
      <c r="F131" s="3117">
        <v>15</v>
      </c>
    </row>
    <row r="132" spans="1:6" ht="13.5">
      <c r="A132" s="3117">
        <v>60</v>
      </c>
      <c r="B132" s="3808" t="s">
        <v>2781</v>
      </c>
      <c r="C132" s="3117" t="s">
        <v>2782</v>
      </c>
      <c r="D132" s="3091" t="s">
        <v>2783</v>
      </c>
      <c r="E132" s="3117">
        <v>0.1</v>
      </c>
      <c r="F132" s="3117">
        <v>15</v>
      </c>
    </row>
    <row r="133" spans="1:6" ht="13.5">
      <c r="A133" s="3117">
        <v>61</v>
      </c>
      <c r="B133" s="3809"/>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807" t="s">
        <v>2789</v>
      </c>
      <c r="C135" s="3117" t="s">
        <v>2790</v>
      </c>
      <c r="D135" s="3091" t="s">
        <v>2791</v>
      </c>
      <c r="E135" s="3117">
        <v>0.1</v>
      </c>
      <c r="F135" s="3117">
        <v>15</v>
      </c>
    </row>
    <row r="136" spans="1:6" ht="13.5">
      <c r="A136" s="3117">
        <v>64</v>
      </c>
      <c r="B136" s="3807"/>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27845</v>
      </c>
      <c r="C2" s="2" t="s">
        <v>106</v>
      </c>
      <c r="D2" s="199"/>
      <c r="E2" s="199"/>
      <c r="F2" s="199"/>
      <c r="G2" s="199"/>
    </row>
    <row r="3" spans="1:7" s="200" customFormat="1" ht="18" customHeight="1" thickBot="1">
      <c r="A3" s="203" t="s">
        <v>58</v>
      </c>
      <c r="B3" s="204">
        <f ca="1">ROUND(B2*10000/'数据-汇总表'!E3,0)</f>
        <v>2002085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450</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139.07999999999998</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139.07999999999998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139.07999999999998</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82" t="s">
        <v>94</v>
      </c>
    </row>
    <row r="43" spans="1:7" ht="13.5" customHeight="1">
      <c r="A43" s="780" t="s">
        <v>347</v>
      </c>
      <c r="B43" s="215" t="s">
        <v>426</v>
      </c>
      <c r="C43" s="238">
        <f ca="1">ROUND(IF('数据-取费表'!B22&lt;=1,C39*F22*'数据-取费表'!B21/2,C39*(POWER((1+F22),'数据-取费表'!B21/2)-1)),0)</f>
        <v>0</v>
      </c>
      <c r="D43" s="238"/>
      <c r="E43" s="238"/>
      <c r="F43" s="239"/>
      <c r="G43" s="3683"/>
    </row>
    <row r="44" spans="1:7" ht="13.5" customHeight="1">
      <c r="A44" s="780" t="s">
        <v>348</v>
      </c>
      <c r="B44" s="215" t="s">
        <v>428</v>
      </c>
      <c r="C44" s="238">
        <f ca="1">ROUND(IF('数据-取费表'!B22&lt;=1,C40*F22*'数据-取费表'!B21/2,C40*(POWER((1+F22),'数据-取费表'!B21/2)-1)),4)</f>
        <v>6.9999999999999999E-4</v>
      </c>
      <c r="D44" s="238"/>
      <c r="E44" s="238"/>
      <c r="F44" s="239"/>
      <c r="G44" s="3684"/>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79</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65</v>
      </c>
      <c r="D51" s="232"/>
      <c r="E51" s="232"/>
      <c r="F51" s="264"/>
      <c r="G51" s="234" t="s">
        <v>37</v>
      </c>
    </row>
    <row r="52" spans="1:7" s="208" customFormat="1" ht="16.5" thickBot="1">
      <c r="A52" s="265" t="s">
        <v>38</v>
      </c>
      <c r="B52" s="266"/>
      <c r="C52" s="267">
        <f ca="1">C31+C51</f>
        <v>27845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topLeftCell="A40" zoomScale="80" zoomScaleNormal="80" workbookViewId="0">
      <selection activeCell="L77" sqref="L77"/>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1" t="s">
        <v>2839</v>
      </c>
      <c r="B1" s="3821"/>
      <c r="C1" s="3821"/>
      <c r="D1" s="3821"/>
      <c r="E1" s="3821"/>
      <c r="F1" s="3821"/>
      <c r="G1" s="3822"/>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19"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0"/>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3" t="s">
        <v>3181</v>
      </c>
      <c r="B1" s="3823"/>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24" t="s">
        <v>3232</v>
      </c>
      <c r="B1" s="3824"/>
      <c r="C1" s="3824"/>
      <c r="D1" s="3824"/>
      <c r="E1" s="3824"/>
      <c r="F1" s="3825"/>
    </row>
    <row r="2" spans="1:6">
      <c r="A2" s="3290" t="s">
        <v>3233</v>
      </c>
      <c r="B2" s="3291"/>
      <c r="C2" s="3291"/>
      <c r="D2" s="3291"/>
      <c r="E2" s="3291"/>
      <c r="F2" s="3291"/>
    </row>
    <row r="3" spans="1:6">
      <c r="A3" s="3290" t="s">
        <v>3234</v>
      </c>
      <c r="B3" s="3291"/>
      <c r="C3" s="3291"/>
      <c r="D3" s="3291"/>
      <c r="E3" s="3291"/>
      <c r="F3" s="3292" t="s">
        <v>3235</v>
      </c>
    </row>
    <row r="4" spans="1:6">
      <c r="A4" s="3293" t="s">
        <v>670</v>
      </c>
      <c r="B4" s="3293" t="s">
        <v>671</v>
      </c>
      <c r="C4" s="3293" t="s">
        <v>21</v>
      </c>
      <c r="D4" s="3293" t="s">
        <v>672</v>
      </c>
      <c r="E4" s="3293" t="s">
        <v>3</v>
      </c>
      <c r="F4" s="3293" t="s">
        <v>3236</v>
      </c>
    </row>
    <row r="5" spans="1:6">
      <c r="A5" s="3294" t="s">
        <v>673</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45405</v>
      </c>
      <c r="B1" s="3209" t="s">
        <v>3371</v>
      </c>
      <c r="C1" s="3210"/>
      <c r="D1" s="3210"/>
      <c r="E1" s="3210"/>
      <c r="F1" s="3210"/>
      <c r="G1" s="3210"/>
      <c r="H1" s="3210"/>
      <c r="I1" s="3210"/>
      <c r="J1" s="3164"/>
      <c r="K1" s="3210" t="s">
        <v>453</v>
      </c>
      <c r="L1" s="3210"/>
      <c r="M1" s="3210"/>
      <c r="N1" s="3210"/>
      <c r="O1" s="3210"/>
      <c r="P1" s="3210"/>
      <c r="Q1" s="3164"/>
      <c r="R1" s="3826" t="s">
        <v>455</v>
      </c>
      <c r="S1" s="3827"/>
      <c r="T1" s="3827"/>
      <c r="U1" s="3827"/>
      <c r="V1" s="3827"/>
      <c r="W1" s="3827"/>
      <c r="X1" s="3164"/>
      <c r="Y1" s="3826" t="s">
        <v>456</v>
      </c>
      <c r="Z1" s="3827"/>
      <c r="AA1" s="3827"/>
      <c r="AB1" s="3827"/>
      <c r="AC1" s="3827"/>
      <c r="AD1" s="3827"/>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3374</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3375</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3377</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3378</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3370</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3369</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3368</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3364</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3355</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2820</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2821</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2822</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2823</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2824</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3366</v>
      </c>
    </row>
    <row r="21" spans="1:30" s="3008" customFormat="1">
      <c r="I21" s="3207" t="s">
        <v>2825</v>
      </c>
    </row>
    <row r="22" spans="1:30" s="3008" customFormat="1"/>
    <row r="23" spans="1:30" s="3208" customFormat="1" ht="12.75">
      <c r="B23" s="3209" t="s">
        <v>3372</v>
      </c>
      <c r="C23" s="3210"/>
      <c r="D23" s="3210"/>
      <c r="E23" s="3210"/>
      <c r="F23" s="3210"/>
      <c r="G23" s="3210"/>
      <c r="H23" s="3210"/>
      <c r="I23" s="3210"/>
      <c r="J23" s="3164"/>
      <c r="K23" s="3210" t="s">
        <v>2826</v>
      </c>
      <c r="L23" s="3210"/>
      <c r="M23" s="3210"/>
      <c r="N23" s="3210"/>
      <c r="O23" s="3210"/>
      <c r="P23" s="3210"/>
      <c r="Q23" s="3164"/>
      <c r="R23" s="3826" t="s">
        <v>2827</v>
      </c>
      <c r="S23" s="3827"/>
      <c r="T23" s="3827"/>
      <c r="U23" s="3827"/>
      <c r="V23" s="3827"/>
      <c r="W23" s="3827"/>
      <c r="X23" s="3164"/>
      <c r="Y23" s="3826" t="s">
        <v>2828</v>
      </c>
      <c r="Z23" s="3827"/>
      <c r="AA23" s="3827"/>
      <c r="AB23" s="3827"/>
      <c r="AC23" s="3827"/>
      <c r="AD23" s="3827"/>
    </row>
    <row r="24" spans="1:30" s="3142" customFormat="1" ht="14.25" thickBot="1">
      <c r="B24" s="3143"/>
      <c r="C24" s="3144"/>
      <c r="D24" s="3145" t="s">
        <v>2829</v>
      </c>
      <c r="E24" s="3146" t="s">
        <v>2830</v>
      </c>
      <c r="F24" s="3146" t="s">
        <v>2831</v>
      </c>
      <c r="G24" s="3146" t="s">
        <v>2832</v>
      </c>
      <c r="H24" s="3146"/>
      <c r="I24" s="3146" t="s">
        <v>2833</v>
      </c>
      <c r="J24" s="3147"/>
      <c r="K24" s="3145" t="s">
        <v>2829</v>
      </c>
      <c r="L24" s="3146" t="s">
        <v>2830</v>
      </c>
      <c r="M24" s="3146" t="s">
        <v>2831</v>
      </c>
      <c r="N24" s="3146" t="s">
        <v>2832</v>
      </c>
      <c r="O24" s="3146"/>
      <c r="P24" s="3146" t="s">
        <v>2833</v>
      </c>
      <c r="Q24" s="3147"/>
      <c r="R24" s="3145" t="s">
        <v>2829</v>
      </c>
      <c r="S24" s="3146" t="s">
        <v>2830</v>
      </c>
      <c r="T24" s="3146" t="s">
        <v>2831</v>
      </c>
      <c r="U24" s="3146" t="s">
        <v>2832</v>
      </c>
      <c r="V24" s="3146"/>
      <c r="W24" s="3146" t="s">
        <v>2833</v>
      </c>
      <c r="X24" s="3147"/>
      <c r="Y24" s="3145" t="s">
        <v>2829</v>
      </c>
      <c r="Z24" s="3146" t="s">
        <v>2830</v>
      </c>
      <c r="AA24" s="3146" t="s">
        <v>2831</v>
      </c>
      <c r="AB24" s="3146" t="s">
        <v>2832</v>
      </c>
      <c r="AC24" s="3146"/>
      <c r="AD24" s="3146" t="s">
        <v>2833</v>
      </c>
    </row>
    <row r="25" spans="1:30" s="3160" customFormat="1" ht="12.75">
      <c r="A25" s="3148" t="s">
        <v>2834</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3374</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3375</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3379</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3378</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3373</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3369</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3368</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3365</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3355</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2835</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2836</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2837</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2838</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2824</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33" t="s">
        <v>451</v>
      </c>
      <c r="C1" s="3833"/>
      <c r="D1" s="3833"/>
      <c r="E1" s="3833"/>
      <c r="F1" s="3833"/>
      <c r="G1" s="3832" t="s">
        <v>452</v>
      </c>
      <c r="H1" s="3832"/>
      <c r="I1" s="3832"/>
      <c r="J1" s="3832"/>
      <c r="K1" s="3832"/>
      <c r="L1" s="3832"/>
      <c r="N1" s="3832" t="s">
        <v>453</v>
      </c>
      <c r="O1" s="3832"/>
      <c r="P1" s="3832"/>
      <c r="Q1" s="3832"/>
      <c r="S1" s="3832" t="s">
        <v>454</v>
      </c>
      <c r="T1" s="3832"/>
      <c r="U1" s="3832"/>
      <c r="V1" s="3832"/>
      <c r="X1" s="3831" t="s">
        <v>455</v>
      </c>
      <c r="Y1" s="3832"/>
      <c r="Z1" s="3832"/>
      <c r="AA1" s="3832"/>
      <c r="AB1" s="3832"/>
      <c r="AD1" s="3831" t="s">
        <v>456</v>
      </c>
      <c r="AE1" s="3832"/>
      <c r="AF1" s="3832"/>
      <c r="AG1" s="3832"/>
      <c r="AH1" s="3832"/>
    </row>
    <row r="2" spans="1:34" s="2172" customFormat="1" ht="14.25" thickBot="1">
      <c r="B2" s="2173" t="s">
        <v>457</v>
      </c>
      <c r="C2" s="2173" t="s">
        <v>458</v>
      </c>
      <c r="D2" s="2174" t="s">
        <v>459</v>
      </c>
      <c r="E2" s="2174" t="s">
        <v>460</v>
      </c>
      <c r="F2" s="2173" t="s">
        <v>461</v>
      </c>
      <c r="G2" s="2175"/>
      <c r="I2" s="2173" t="s">
        <v>457</v>
      </c>
      <c r="J2" s="2174" t="s">
        <v>674</v>
      </c>
      <c r="K2" s="2174" t="s">
        <v>308</v>
      </c>
      <c r="L2" s="2173" t="s">
        <v>461</v>
      </c>
      <c r="N2" s="2173" t="s">
        <v>457</v>
      </c>
      <c r="O2" s="2174" t="s">
        <v>674</v>
      </c>
      <c r="P2" s="2174" t="s">
        <v>308</v>
      </c>
      <c r="Q2" s="2173" t="s">
        <v>461</v>
      </c>
      <c r="S2" s="2173" t="s">
        <v>457</v>
      </c>
      <c r="T2" s="2174" t="s">
        <v>674</v>
      </c>
      <c r="U2" s="2174" t="s">
        <v>308</v>
      </c>
      <c r="V2" s="2173" t="s">
        <v>461</v>
      </c>
      <c r="X2" s="2173" t="s">
        <v>457</v>
      </c>
      <c r="Y2" s="2173" t="s">
        <v>458</v>
      </c>
      <c r="Z2" s="2174" t="s">
        <v>459</v>
      </c>
      <c r="AA2" s="2174" t="s">
        <v>460</v>
      </c>
      <c r="AB2" s="2173" t="s">
        <v>461</v>
      </c>
      <c r="AD2" s="2173" t="s">
        <v>457</v>
      </c>
      <c r="AE2" s="2173" t="s">
        <v>458</v>
      </c>
      <c r="AF2" s="2174" t="s">
        <v>459</v>
      </c>
      <c r="AG2" s="2174" t="s">
        <v>460</v>
      </c>
      <c r="AH2" s="2173" t="s">
        <v>461</v>
      </c>
    </row>
    <row r="3" spans="1:34" s="2182" customFormat="1" ht="14.25">
      <c r="A3" s="2176" t="s">
        <v>2110</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2111</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2126</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2124</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2123</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2122</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2120</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2119</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2121</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2117</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2116</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2109</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2107</v>
      </c>
      <c r="B25" s="2220">
        <v>439</v>
      </c>
      <c r="C25" s="2220">
        <v>327</v>
      </c>
      <c r="D25" s="2220">
        <f>C25</f>
        <v>327</v>
      </c>
      <c r="E25" s="2220">
        <v>627</v>
      </c>
      <c r="F25" s="2221">
        <v>283</v>
      </c>
      <c r="G25" s="383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2108</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675</v>
      </c>
      <c r="B27" s="2206">
        <f t="shared" si="232"/>
        <v>419.31181600000002</v>
      </c>
      <c r="C27" s="2206">
        <f t="shared" si="233"/>
        <v>313.95436800000004</v>
      </c>
      <c r="D27" s="2206">
        <f t="shared" si="234"/>
        <v>313.95436800000004</v>
      </c>
      <c r="E27" s="2206">
        <f t="shared" si="235"/>
        <v>596.63028431999999</v>
      </c>
      <c r="F27" s="2206">
        <f t="shared" si="236"/>
        <v>274.74220703999998</v>
      </c>
      <c r="G27" s="382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462</v>
      </c>
      <c r="B28" s="2206">
        <f>B29*(1+N28)</f>
        <v>405.524</v>
      </c>
      <c r="C28" s="2206">
        <f>C29*(1+O28)</f>
        <v>307.79840000000002</v>
      </c>
      <c r="D28" s="2206">
        <f>C28</f>
        <v>307.79840000000002</v>
      </c>
      <c r="E28" s="2206">
        <f>E29*(1+P28)</f>
        <v>574.67759999999998</v>
      </c>
      <c r="F28" s="2206">
        <f>F29*(1+Q28)</f>
        <v>270.20280000000002</v>
      </c>
      <c r="G28" s="383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463</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464</v>
      </c>
      <c r="B41" s="2220">
        <v>299</v>
      </c>
      <c r="C41" s="2220">
        <v>252</v>
      </c>
      <c r="D41" s="2220">
        <f t="shared" si="246"/>
        <v>252</v>
      </c>
      <c r="E41" s="2220">
        <v>409</v>
      </c>
      <c r="F41" s="2221">
        <v>227</v>
      </c>
      <c r="G41" s="383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465</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466</v>
      </c>
      <c r="B43" s="2206">
        <f t="shared" si="255"/>
        <v>288.2649053828776</v>
      </c>
      <c r="C43" s="2206">
        <f t="shared" si="255"/>
        <v>243.64564425013293</v>
      </c>
      <c r="D43" s="2206">
        <f t="shared" si="246"/>
        <v>243.64564425013293</v>
      </c>
      <c r="E43" s="2206">
        <f t="shared" si="256"/>
        <v>393.31080825986544</v>
      </c>
      <c r="F43" s="2206">
        <f t="shared" si="256"/>
        <v>223.07903790551154</v>
      </c>
      <c r="G43" s="383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467</v>
      </c>
      <c r="B44" s="2206">
        <f t="shared" si="255"/>
        <v>282.50186729015837</v>
      </c>
      <c r="C44" s="2206">
        <f t="shared" si="255"/>
        <v>238.09796174155468</v>
      </c>
      <c r="D44" s="2206">
        <f t="shared" si="246"/>
        <v>238.09796174155468</v>
      </c>
      <c r="E44" s="2206">
        <f t="shared" si="256"/>
        <v>385.33438646014054</v>
      </c>
      <c r="F44" s="2206">
        <f t="shared" si="256"/>
        <v>221.55034055567739</v>
      </c>
      <c r="G44" s="383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468</v>
      </c>
      <c r="B45" s="2255">
        <v>278</v>
      </c>
      <c r="C45" s="2255">
        <v>234</v>
      </c>
      <c r="D45" s="2255">
        <f t="shared" si="246"/>
        <v>234</v>
      </c>
      <c r="E45" s="2255">
        <v>379</v>
      </c>
      <c r="F45" s="2256">
        <v>220</v>
      </c>
      <c r="G45" s="382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469</v>
      </c>
      <c r="B46" s="2206">
        <f>B45/(1+N45)</f>
        <v>275.49301357645425</v>
      </c>
      <c r="C46" s="2206">
        <f>C45/(1+O45)</f>
        <v>232.41954707985698</v>
      </c>
      <c r="D46" s="2206">
        <f t="shared" si="246"/>
        <v>232.41954707985698</v>
      </c>
      <c r="E46" s="2206">
        <f t="shared" ref="E46:F48" si="257">E45/(1+P45)</f>
        <v>375.32184591008121</v>
      </c>
      <c r="F46" s="2206">
        <f t="shared" si="257"/>
        <v>218.03766105054513</v>
      </c>
      <c r="G46" s="382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470</v>
      </c>
      <c r="B47" s="2206">
        <f>B46/(1+N46)</f>
        <v>275.24529281292263</v>
      </c>
      <c r="C47" s="2206">
        <f>C46/(1+O46)</f>
        <v>231.74747938962707</v>
      </c>
      <c r="D47" s="2206">
        <f t="shared" si="246"/>
        <v>231.74747938962707</v>
      </c>
      <c r="E47" s="2206">
        <f t="shared" si="257"/>
        <v>375.35938184826603</v>
      </c>
      <c r="F47" s="2206">
        <f t="shared" si="257"/>
        <v>216.78033510692495</v>
      </c>
      <c r="G47" s="382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471</v>
      </c>
      <c r="B48" s="2206">
        <f>B47/(1+N47)</f>
        <v>275.19025476197027</v>
      </c>
      <c r="C48" s="2257">
        <v>232</v>
      </c>
      <c r="D48" s="2257">
        <f t="shared" si="246"/>
        <v>232</v>
      </c>
      <c r="E48" s="2206">
        <f t="shared" si="257"/>
        <v>375.65990977608692</v>
      </c>
      <c r="F48" s="2206">
        <f t="shared" si="257"/>
        <v>214.12518283971252</v>
      </c>
      <c r="G48" s="383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472</v>
      </c>
      <c r="B49" s="2220">
        <v>275</v>
      </c>
      <c r="C49" s="2220">
        <v>232</v>
      </c>
      <c r="D49" s="2220">
        <f t="shared" si="246"/>
        <v>232</v>
      </c>
      <c r="E49" s="2220">
        <v>376</v>
      </c>
      <c r="F49" s="2221">
        <v>213</v>
      </c>
      <c r="G49" s="382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473</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474</v>
      </c>
      <c r="B51" s="2206">
        <f t="shared" si="258"/>
        <v>275.19335084830601</v>
      </c>
      <c r="C51" s="2206">
        <f t="shared" si="258"/>
        <v>230.18088050139744</v>
      </c>
      <c r="D51" s="2206">
        <f t="shared" si="246"/>
        <v>230.18088050139744</v>
      </c>
      <c r="E51" s="2206">
        <f t="shared" si="259"/>
        <v>377.58482925212331</v>
      </c>
      <c r="F51" s="2206">
        <f t="shared" si="259"/>
        <v>210.90687997847917</v>
      </c>
      <c r="G51" s="382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475</v>
      </c>
      <c r="B52" s="2206">
        <f t="shared" si="258"/>
        <v>276.29854502841971</v>
      </c>
      <c r="C52" s="2206">
        <f t="shared" si="258"/>
        <v>229.79023709833027</v>
      </c>
      <c r="D52" s="2206">
        <f t="shared" si="246"/>
        <v>229.79023709833027</v>
      </c>
      <c r="E52" s="2206">
        <f t="shared" si="259"/>
        <v>379.78759731655936</v>
      </c>
      <c r="F52" s="2206">
        <f t="shared" si="259"/>
        <v>211.32953905659235</v>
      </c>
      <c r="G52" s="383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476</v>
      </c>
      <c r="B53" s="2220">
        <v>269</v>
      </c>
      <c r="C53" s="2220">
        <v>221</v>
      </c>
      <c r="D53" s="2220">
        <f t="shared" si="246"/>
        <v>221</v>
      </c>
      <c r="E53" s="2220">
        <v>373</v>
      </c>
      <c r="F53" s="2221">
        <v>196</v>
      </c>
      <c r="G53" s="382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477</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478</v>
      </c>
      <c r="B55" s="2206">
        <f t="shared" si="260"/>
        <v>242.95398227588385</v>
      </c>
      <c r="C55" s="2206">
        <f t="shared" si="260"/>
        <v>199.59137053614126</v>
      </c>
      <c r="D55" s="2206">
        <f t="shared" si="246"/>
        <v>199.59137053614126</v>
      </c>
      <c r="E55" s="2206">
        <f t="shared" si="261"/>
        <v>335.92189522342125</v>
      </c>
      <c r="F55" s="2206">
        <f t="shared" si="261"/>
        <v>183.10139991109489</v>
      </c>
      <c r="G55" s="382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479</v>
      </c>
      <c r="B56" s="2206">
        <f t="shared" si="260"/>
        <v>232.06990378821649</v>
      </c>
      <c r="C56" s="2206">
        <f t="shared" si="260"/>
        <v>192.74878854286936</v>
      </c>
      <c r="D56" s="2206">
        <f t="shared" si="246"/>
        <v>192.74878854286936</v>
      </c>
      <c r="E56" s="2206">
        <f t="shared" si="261"/>
        <v>319.71247284992984</v>
      </c>
      <c r="F56" s="2206">
        <f t="shared" si="261"/>
        <v>175.67053622862409</v>
      </c>
      <c r="G56" s="383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480</v>
      </c>
      <c r="B57" s="2220">
        <v>220</v>
      </c>
      <c r="C57" s="2220">
        <v>187</v>
      </c>
      <c r="D57" s="2220">
        <f t="shared" si="246"/>
        <v>187</v>
      </c>
      <c r="E57" s="2220">
        <v>301</v>
      </c>
      <c r="F57" s="2221">
        <v>168</v>
      </c>
      <c r="G57" s="382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481</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482</v>
      </c>
      <c r="B59" s="2206">
        <f t="shared" si="262"/>
        <v>210.630522469011</v>
      </c>
      <c r="C59" s="2206">
        <f t="shared" si="262"/>
        <v>181.69567812247232</v>
      </c>
      <c r="D59" s="2206">
        <f t="shared" si="246"/>
        <v>181.69567812247232</v>
      </c>
      <c r="E59" s="2206">
        <f t="shared" si="263"/>
        <v>286.13517466736738</v>
      </c>
      <c r="F59" s="2206">
        <f t="shared" si="263"/>
        <v>165.47535084591149</v>
      </c>
      <c r="G59" s="382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483</v>
      </c>
      <c r="B60" s="2206">
        <f t="shared" si="262"/>
        <v>208.83454537875372</v>
      </c>
      <c r="C60" s="2206">
        <f t="shared" si="262"/>
        <v>183.77230517090351</v>
      </c>
      <c r="D60" s="2206">
        <f t="shared" si="246"/>
        <v>183.77230517090351</v>
      </c>
      <c r="E60" s="2206">
        <f t="shared" si="263"/>
        <v>281.10342338870947</v>
      </c>
      <c r="F60" s="2206">
        <f t="shared" si="263"/>
        <v>168.97309388942256</v>
      </c>
      <c r="G60" s="383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484</v>
      </c>
      <c r="B61" s="2255">
        <v>214</v>
      </c>
      <c r="C61" s="2255">
        <v>188</v>
      </c>
      <c r="D61" s="2255">
        <f t="shared" si="246"/>
        <v>188</v>
      </c>
      <c r="E61" s="2255">
        <v>289</v>
      </c>
      <c r="F61" s="2256">
        <v>166</v>
      </c>
      <c r="G61" s="382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485</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486</v>
      </c>
      <c r="B63" s="2206">
        <f t="shared" si="264"/>
        <v>206.31694671589116</v>
      </c>
      <c r="C63" s="2206">
        <f t="shared" si="264"/>
        <v>183.61041121036101</v>
      </c>
      <c r="D63" s="2206">
        <f t="shared" si="246"/>
        <v>183.61041121036101</v>
      </c>
      <c r="E63" s="2206">
        <f t="shared" si="265"/>
        <v>276.66850301795557</v>
      </c>
      <c r="F63" s="2206">
        <f t="shared" si="265"/>
        <v>165.1360938278614</v>
      </c>
      <c r="G63" s="382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487</v>
      </c>
      <c r="B64" s="2258">
        <f t="shared" si="264"/>
        <v>196.62341248059772</v>
      </c>
      <c r="C64" s="2258">
        <f t="shared" si="264"/>
        <v>170.99125648199012</v>
      </c>
      <c r="D64" s="2258">
        <f t="shared" si="246"/>
        <v>170.99125648199012</v>
      </c>
      <c r="E64" s="2258">
        <f t="shared" si="265"/>
        <v>266.07857570490052</v>
      </c>
      <c r="F64" s="2258">
        <f t="shared" si="265"/>
        <v>154.53499328828505</v>
      </c>
      <c r="G64" s="383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488</v>
      </c>
      <c r="B65" s="2220">
        <v>188</v>
      </c>
      <c r="C65" s="2220">
        <v>165</v>
      </c>
      <c r="D65" s="2220">
        <f t="shared" si="246"/>
        <v>165</v>
      </c>
      <c r="E65" s="2220">
        <v>254</v>
      </c>
      <c r="F65" s="2221">
        <v>148</v>
      </c>
      <c r="G65" s="382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489</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490</v>
      </c>
      <c r="B67" s="2206">
        <f t="shared" si="268"/>
        <v>168.82017748715555</v>
      </c>
      <c r="C67" s="2206">
        <f t="shared" si="268"/>
        <v>148.06267029972753</v>
      </c>
      <c r="D67" s="2206">
        <f t="shared" si="246"/>
        <v>148.06267029972753</v>
      </c>
      <c r="E67" s="2206">
        <f t="shared" si="269"/>
        <v>216.46288379323747</v>
      </c>
      <c r="F67" s="2206">
        <f t="shared" si="269"/>
        <v>134.23529411764704</v>
      </c>
      <c r="G67" s="382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491</v>
      </c>
      <c r="B68" s="2206">
        <f t="shared" si="268"/>
        <v>163.84913591779542</v>
      </c>
      <c r="C68" s="2206">
        <f t="shared" si="268"/>
        <v>145.0283378746594</v>
      </c>
      <c r="D68" s="2206">
        <f t="shared" si="246"/>
        <v>145.0283378746594</v>
      </c>
      <c r="E68" s="2206">
        <f t="shared" si="269"/>
        <v>204.95180722891567</v>
      </c>
      <c r="F68" s="2206">
        <f t="shared" si="269"/>
        <v>125.95920303605313</v>
      </c>
      <c r="G68" s="383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492</v>
      </c>
      <c r="B69" s="2234">
        <v>159</v>
      </c>
      <c r="C69" s="2234">
        <v>141</v>
      </c>
      <c r="D69" s="2234">
        <f t="shared" si="246"/>
        <v>141</v>
      </c>
      <c r="E69" s="2234">
        <v>195</v>
      </c>
      <c r="F69" s="2235">
        <v>122</v>
      </c>
      <c r="G69" s="382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493</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494</v>
      </c>
      <c r="B71" s="2206">
        <f t="shared" si="272"/>
        <v>146.57412060301507</v>
      </c>
      <c r="C71" s="2206">
        <f t="shared" si="272"/>
        <v>136.46831955922866</v>
      </c>
      <c r="D71" s="2206">
        <f t="shared" si="246"/>
        <v>136.46831955922866</v>
      </c>
      <c r="E71" s="2206">
        <f t="shared" si="273"/>
        <v>166.73864894795128</v>
      </c>
      <c r="F71" s="2206">
        <f t="shared" si="273"/>
        <v>115.05882352941177</v>
      </c>
      <c r="G71" s="382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495</v>
      </c>
      <c r="B72" s="2206">
        <f t="shared" si="272"/>
        <v>144.04145728643215</v>
      </c>
      <c r="C72" s="2206">
        <f t="shared" si="272"/>
        <v>136.12396694214877</v>
      </c>
      <c r="D72" s="2206">
        <f t="shared" si="246"/>
        <v>136.12396694214877</v>
      </c>
      <c r="E72" s="2206">
        <f t="shared" si="273"/>
        <v>158.32225913621264</v>
      </c>
      <c r="F72" s="2206">
        <f t="shared" si="273"/>
        <v>114.04278074866311</v>
      </c>
      <c r="G72" s="383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496</v>
      </c>
      <c r="B73" s="2234">
        <v>138</v>
      </c>
      <c r="C73" s="2234">
        <v>131</v>
      </c>
      <c r="D73" s="2234">
        <f t="shared" si="246"/>
        <v>131</v>
      </c>
      <c r="E73" s="2234">
        <v>155</v>
      </c>
      <c r="F73" s="2235">
        <v>114</v>
      </c>
      <c r="G73" s="382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497</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498</v>
      </c>
      <c r="B75" s="2206">
        <f t="shared" si="276"/>
        <v>124.29032258064517</v>
      </c>
      <c r="C75" s="2206">
        <f t="shared" si="276"/>
        <v>123.8968609865471</v>
      </c>
      <c r="D75" s="2206">
        <f t="shared" si="246"/>
        <v>123.8968609865471</v>
      </c>
      <c r="E75" s="2206">
        <f t="shared" si="277"/>
        <v>138.00507614213197</v>
      </c>
      <c r="F75" s="2206">
        <f t="shared" si="277"/>
        <v>107.96106557377048</v>
      </c>
      <c r="G75" s="382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499</v>
      </c>
      <c r="B76" s="2206">
        <f t="shared" si="276"/>
        <v>122.57204301075269</v>
      </c>
      <c r="C76" s="2206">
        <f t="shared" si="276"/>
        <v>123.4932735426009</v>
      </c>
      <c r="D76" s="2206">
        <f t="shared" si="246"/>
        <v>123.4932735426009</v>
      </c>
      <c r="E76" s="2206">
        <f t="shared" si="277"/>
        <v>129.82233502538071</v>
      </c>
      <c r="F76" s="2206">
        <f t="shared" si="277"/>
        <v>107.39446721311475</v>
      </c>
      <c r="G76" s="383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500</v>
      </c>
      <c r="B77" s="2255">
        <v>121</v>
      </c>
      <c r="C77" s="2255">
        <v>122</v>
      </c>
      <c r="D77" s="2255">
        <f t="shared" si="246"/>
        <v>122</v>
      </c>
      <c r="E77" s="2255">
        <v>124</v>
      </c>
      <c r="F77" s="2256">
        <v>107</v>
      </c>
      <c r="G77" s="382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501</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502</v>
      </c>
      <c r="B79" s="2206">
        <f t="shared" si="280"/>
        <v>116.99099099099099</v>
      </c>
      <c r="C79" s="2206">
        <f t="shared" si="280"/>
        <v>118.84848484848486</v>
      </c>
      <c r="D79" s="2206">
        <f t="shared" si="246"/>
        <v>118.84848484848486</v>
      </c>
      <c r="E79" s="2206">
        <f t="shared" si="281"/>
        <v>117.60960960960961</v>
      </c>
      <c r="F79" s="2206">
        <f t="shared" si="281"/>
        <v>104</v>
      </c>
      <c r="G79" s="382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503</v>
      </c>
      <c r="B80" s="2258">
        <f t="shared" si="280"/>
        <v>112.48648648648648</v>
      </c>
      <c r="C80" s="2258">
        <f t="shared" si="280"/>
        <v>115.21212121212122</v>
      </c>
      <c r="D80" s="2258">
        <f t="shared" si="246"/>
        <v>115.21212121212122</v>
      </c>
      <c r="E80" s="2258">
        <f t="shared" si="281"/>
        <v>110.4024024024024</v>
      </c>
      <c r="F80" s="2258">
        <f t="shared" si="281"/>
        <v>104</v>
      </c>
      <c r="G80" s="383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504</v>
      </c>
      <c r="B81" s="2275">
        <v>111</v>
      </c>
      <c r="C81" s="2275">
        <v>114</v>
      </c>
      <c r="D81" s="2275">
        <f t="shared" si="246"/>
        <v>114</v>
      </c>
      <c r="E81" s="2275">
        <v>108</v>
      </c>
      <c r="F81" s="2276">
        <v>104</v>
      </c>
      <c r="G81" s="3828">
        <v>2003</v>
      </c>
      <c r="H81" s="2265">
        <v>4</v>
      </c>
      <c r="I81" s="2277"/>
      <c r="J81" s="2277"/>
      <c r="K81" s="2277"/>
      <c r="L81" s="2277"/>
      <c r="N81" s="2278"/>
      <c r="O81" s="2277"/>
      <c r="P81" s="2277"/>
      <c r="Q81" s="2277"/>
      <c r="S81" s="2278"/>
      <c r="T81" s="2277"/>
      <c r="U81" s="2277"/>
      <c r="V81" s="2277"/>
      <c r="X81" s="2269"/>
      <c r="Y81" s="2269"/>
      <c r="Z81" s="2269"/>
    </row>
    <row r="82" spans="1:26">
      <c r="A82" s="2205" t="s">
        <v>505</v>
      </c>
      <c r="B82" s="2279">
        <f t="shared" ref="B82:C84" si="282">B83+(B$81-B$85)/4</f>
        <v>109.75</v>
      </c>
      <c r="C82" s="2279">
        <f t="shared" si="282"/>
        <v>112.25</v>
      </c>
      <c r="D82" s="2279">
        <f t="shared" si="246"/>
        <v>112.25</v>
      </c>
      <c r="E82" s="2279">
        <f t="shared" ref="E82:F84" si="283">E83+(E$81-E$85)/4</f>
        <v>107.25</v>
      </c>
      <c r="F82" s="2279">
        <f t="shared" si="283"/>
        <v>103.5</v>
      </c>
      <c r="G82" s="3829">
        <v>2003</v>
      </c>
      <c r="H82" s="2231">
        <v>3</v>
      </c>
      <c r="I82" s="2277"/>
      <c r="J82" s="2277"/>
      <c r="K82" s="2277"/>
      <c r="L82" s="2277"/>
      <c r="X82" s="2269"/>
      <c r="Y82" s="2269"/>
      <c r="Z82" s="2269"/>
    </row>
    <row r="83" spans="1:26">
      <c r="A83" s="2205" t="s">
        <v>506</v>
      </c>
      <c r="B83" s="2279">
        <f t="shared" si="282"/>
        <v>108.5</v>
      </c>
      <c r="C83" s="2279">
        <f t="shared" si="282"/>
        <v>110.5</v>
      </c>
      <c r="D83" s="2279">
        <f t="shared" si="246"/>
        <v>110.5</v>
      </c>
      <c r="E83" s="2279">
        <f t="shared" si="283"/>
        <v>106.5</v>
      </c>
      <c r="F83" s="2279">
        <f t="shared" si="283"/>
        <v>103</v>
      </c>
      <c r="G83" s="3829">
        <v>2003</v>
      </c>
      <c r="H83" s="2218">
        <v>2</v>
      </c>
      <c r="I83" s="2277"/>
      <c r="J83" s="2277"/>
      <c r="K83" s="2277"/>
      <c r="L83" s="2277"/>
      <c r="X83" s="2269"/>
      <c r="Y83" s="2269"/>
      <c r="Z83" s="2269"/>
    </row>
    <row r="84" spans="1:26" ht="13.5" thickBot="1">
      <c r="A84" s="2205" t="s">
        <v>507</v>
      </c>
      <c r="B84" s="2279">
        <f t="shared" si="282"/>
        <v>107.25</v>
      </c>
      <c r="C84" s="2279">
        <f t="shared" si="282"/>
        <v>108.75</v>
      </c>
      <c r="D84" s="2279">
        <f t="shared" si="246"/>
        <v>108.75</v>
      </c>
      <c r="E84" s="2279">
        <f t="shared" si="283"/>
        <v>105.75</v>
      </c>
      <c r="F84" s="2279">
        <f t="shared" si="283"/>
        <v>102.5</v>
      </c>
      <c r="G84" s="3830">
        <v>2003</v>
      </c>
      <c r="H84" s="2280">
        <v>1</v>
      </c>
      <c r="I84" s="2277"/>
      <c r="J84" s="2277"/>
      <c r="K84" s="2277"/>
      <c r="L84" s="2277"/>
      <c r="S84" s="2208"/>
      <c r="T84" s="2193"/>
      <c r="U84" s="2193"/>
      <c r="X84" s="2269"/>
      <c r="Y84" s="2269"/>
      <c r="Z84" s="2269"/>
    </row>
    <row r="85" spans="1:26" ht="13.5" thickBot="1">
      <c r="A85" s="2205" t="s">
        <v>508</v>
      </c>
      <c r="B85" s="2281">
        <v>106</v>
      </c>
      <c r="C85" s="2281">
        <v>107</v>
      </c>
      <c r="D85" s="2281">
        <f t="shared" si="246"/>
        <v>107</v>
      </c>
      <c r="E85" s="2281">
        <v>105</v>
      </c>
      <c r="F85" s="2282">
        <v>102</v>
      </c>
      <c r="G85" s="3828">
        <v>2002</v>
      </c>
      <c r="H85" s="2226">
        <v>4</v>
      </c>
      <c r="I85" s="2277"/>
      <c r="J85" s="2277"/>
      <c r="K85" s="2277"/>
      <c r="L85" s="2277"/>
      <c r="N85" s="2278"/>
      <c r="O85" s="2277"/>
      <c r="P85" s="2277"/>
      <c r="Q85" s="2277"/>
      <c r="S85" s="2278"/>
      <c r="T85" s="2277"/>
      <c r="U85" s="2277"/>
      <c r="V85" s="2277"/>
      <c r="X85" s="2269"/>
      <c r="Y85" s="2269"/>
      <c r="Z85" s="2269"/>
    </row>
    <row r="86" spans="1:26">
      <c r="A86" s="2205" t="s">
        <v>509</v>
      </c>
      <c r="B86" s="2279">
        <f t="shared" ref="B86:C88" si="284">B87+(B$85-B$89)/4</f>
        <v>105</v>
      </c>
      <c r="C86" s="2279">
        <f t="shared" si="284"/>
        <v>106</v>
      </c>
      <c r="D86" s="2279">
        <f t="shared" si="246"/>
        <v>106</v>
      </c>
      <c r="E86" s="2279">
        <f t="shared" ref="E86:F88" si="285">E87+(E$85-E$89)/4</f>
        <v>104.5</v>
      </c>
      <c r="F86" s="2279">
        <f t="shared" si="285"/>
        <v>101.5</v>
      </c>
      <c r="G86" s="3829">
        <v>2002</v>
      </c>
      <c r="H86" s="2231">
        <v>3</v>
      </c>
      <c r="I86" s="2277"/>
      <c r="J86" s="2277"/>
      <c r="K86" s="2277"/>
      <c r="L86" s="2277"/>
      <c r="X86" s="2269"/>
      <c r="Y86" s="2269"/>
      <c r="Z86" s="2269"/>
    </row>
    <row r="87" spans="1:26">
      <c r="A87" s="2205" t="s">
        <v>510</v>
      </c>
      <c r="B87" s="2279">
        <f t="shared" si="284"/>
        <v>104</v>
      </c>
      <c r="C87" s="2279">
        <f t="shared" si="284"/>
        <v>105</v>
      </c>
      <c r="D87" s="2279">
        <f t="shared" si="246"/>
        <v>105</v>
      </c>
      <c r="E87" s="2279">
        <f t="shared" si="285"/>
        <v>104</v>
      </c>
      <c r="F87" s="2279">
        <f t="shared" si="285"/>
        <v>101</v>
      </c>
      <c r="G87" s="3829">
        <v>2002</v>
      </c>
      <c r="H87" s="2218">
        <v>2</v>
      </c>
      <c r="I87" s="2277"/>
      <c r="J87" s="2277"/>
      <c r="K87" s="2277"/>
      <c r="L87" s="2277"/>
      <c r="X87" s="2269"/>
      <c r="Y87" s="2269"/>
      <c r="Z87" s="2269"/>
    </row>
    <row r="88" spans="1:26" s="2242" customFormat="1" ht="13.5" thickBot="1">
      <c r="A88" s="2238" t="s">
        <v>511</v>
      </c>
      <c r="B88" s="2245">
        <f t="shared" si="284"/>
        <v>103</v>
      </c>
      <c r="C88" s="2245">
        <f t="shared" si="284"/>
        <v>104</v>
      </c>
      <c r="D88" s="2245">
        <f t="shared" si="246"/>
        <v>104</v>
      </c>
      <c r="E88" s="2245">
        <f t="shared" si="285"/>
        <v>103.5</v>
      </c>
      <c r="F88" s="2245">
        <f t="shared" si="285"/>
        <v>100.5</v>
      </c>
      <c r="G88" s="383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512</v>
      </c>
      <c r="G91" s="2292"/>
      <c r="N91" s="2292"/>
      <c r="S91" s="2292"/>
    </row>
    <row r="92" spans="1:26" s="2291" customFormat="1">
      <c r="A92" s="2291" t="s">
        <v>513</v>
      </c>
      <c r="G92" s="2292"/>
      <c r="N92" s="2292"/>
      <c r="S92" s="2292"/>
    </row>
    <row r="93" spans="1:26" s="2291" customFormat="1">
      <c r="A93" s="2291" t="s">
        <v>514</v>
      </c>
      <c r="G93" s="2292"/>
      <c r="I93" s="2293"/>
      <c r="J93" s="2293"/>
      <c r="K93" s="2293"/>
      <c r="L93" s="2293"/>
      <c r="N93" s="2294"/>
      <c r="O93" s="2293"/>
      <c r="P93" s="2293"/>
      <c r="Q93" s="2293"/>
      <c r="S93" s="2294"/>
      <c r="T93" s="2293"/>
      <c r="U93" s="2293"/>
      <c r="V93" s="2293"/>
    </row>
    <row r="94" spans="1:26" s="2291" customFormat="1">
      <c r="A94" s="2291" t="s">
        <v>515</v>
      </c>
      <c r="G94" s="2292"/>
      <c r="N94" s="2292"/>
      <c r="S94" s="2292"/>
    </row>
    <row r="101" spans="7:22" ht="13.5" thickBot="1"/>
    <row r="102" spans="7:22">
      <c r="G102" s="2192"/>
      <c r="S102" s="2295" t="s">
        <v>516</v>
      </c>
      <c r="T102" s="2296" t="s">
        <v>517</v>
      </c>
      <c r="U102" s="2296" t="s">
        <v>518</v>
      </c>
      <c r="V102" s="2296" t="s">
        <v>519</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7" t="str">
        <f>IF(项目基本情况!B9="房地产市场价值","估价结果一览表","结果表-2")</f>
        <v>结果表-2</v>
      </c>
      <c r="B1" s="3517"/>
      <c r="C1" s="3517"/>
      <c r="D1" s="3517"/>
      <c r="E1" s="3517"/>
      <c r="F1" s="3517"/>
      <c r="G1" s="3517"/>
      <c r="H1" s="3517"/>
      <c r="I1" s="3517"/>
    </row>
    <row r="2" spans="1:9" ht="30" customHeight="1" thickTop="1">
      <c r="A2" s="3518" t="s">
        <v>926</v>
      </c>
      <c r="B2" s="3518" t="s">
        <v>927</v>
      </c>
      <c r="C2" s="3518" t="s">
        <v>928</v>
      </c>
      <c r="D2" s="3518" t="str">
        <f>结果表413!D116</f>
        <v>出让国有建设用地使用权价值</v>
      </c>
      <c r="E2" s="3518"/>
      <c r="F2" s="3518" t="str">
        <f>结果表413!F116</f>
        <v>在建建筑物价值</v>
      </c>
      <c r="G2" s="3518"/>
      <c r="H2" s="3518" t="str">
        <f>IF(项目基本情况!B9="房地产市场价值","房地产市场价值","房地产价值")</f>
        <v>房地产价值</v>
      </c>
      <c r="I2" s="3518"/>
    </row>
    <row r="3" spans="1:9" ht="15">
      <c r="A3" s="3513"/>
      <c r="B3" s="3513"/>
      <c r="C3" s="3513"/>
      <c r="D3" s="854" t="s">
        <v>923</v>
      </c>
      <c r="E3" s="854" t="s">
        <v>929</v>
      </c>
      <c r="F3" s="854" t="s">
        <v>923</v>
      </c>
      <c r="G3" s="854" t="s">
        <v>924</v>
      </c>
      <c r="H3" s="854" t="s">
        <v>923</v>
      </c>
      <c r="I3" s="854" t="s">
        <v>924</v>
      </c>
    </row>
    <row r="4" spans="1:9" ht="30">
      <c r="A4" s="1505" t="str">
        <f>项目基本情况!S2</f>
        <v>北京市丰台区广安路9号院1号楼4层413房地产</v>
      </c>
      <c r="B4" s="854">
        <f>项目基本情况!C17</f>
        <v>139.07999999999998</v>
      </c>
      <c r="C4" s="854">
        <f>项目基本情况!C18</f>
        <v>0</v>
      </c>
      <c r="D4" s="854">
        <f>结果表413!D118</f>
        <v>0</v>
      </c>
      <c r="E4" s="854">
        <f>结果表413!E118</f>
        <v>0</v>
      </c>
      <c r="F4" s="854">
        <f>结果表413!F118</f>
        <v>0</v>
      </c>
      <c r="G4" s="854">
        <f>结果表413!G118</f>
        <v>0</v>
      </c>
      <c r="H4" s="854">
        <f ca="1">结果表413!H118</f>
        <v>210</v>
      </c>
      <c r="I4" s="854">
        <f ca="1">结果表413!I118</f>
        <v>35889</v>
      </c>
    </row>
    <row r="5" spans="1:9" ht="30" customHeight="1">
      <c r="A5" s="3513" t="s">
        <v>925</v>
      </c>
      <c r="B5" s="3513"/>
      <c r="C5" s="3513"/>
      <c r="D5" s="3513" t="str">
        <f>结果表413!D119</f>
        <v>零元整</v>
      </c>
      <c r="E5" s="3513"/>
      <c r="F5" s="3513" t="str">
        <f>结果表413!F119</f>
        <v>零元整</v>
      </c>
      <c r="G5" s="3513"/>
      <c r="H5" s="3513" t="str">
        <f ca="1">结果表413!H119</f>
        <v>贰佰壹拾万元整</v>
      </c>
      <c r="I5" s="3513"/>
    </row>
    <row r="6" spans="1:9" ht="15.75">
      <c r="A6" s="3512" t="str">
        <f>结果表413!A120</f>
        <v>估价师知悉的法定优先受偿款</v>
      </c>
      <c r="B6" s="3512"/>
      <c r="C6" s="3512"/>
      <c r="D6" s="3512">
        <f>结果表413!D120</f>
        <v>0</v>
      </c>
      <c r="E6" s="3512"/>
      <c r="F6" s="3512"/>
      <c r="G6" s="3512"/>
      <c r="H6" s="3512"/>
      <c r="I6" s="3512"/>
    </row>
    <row r="7" spans="1:9" ht="15">
      <c r="A7" s="3513" t="s">
        <v>925</v>
      </c>
      <c r="B7" s="3513"/>
      <c r="C7" s="3513"/>
      <c r="D7" s="3514" t="str">
        <f>结果表413!D121</f>
        <v>零元整</v>
      </c>
      <c r="E7" s="3515"/>
      <c r="F7" s="3515"/>
      <c r="G7" s="3515"/>
      <c r="H7" s="3515"/>
      <c r="I7" s="3516"/>
    </row>
    <row r="8" spans="1:9" ht="15.75">
      <c r="A8" s="3512" t="str">
        <f>结果表413!A122</f>
        <v>房地产抵押价值</v>
      </c>
      <c r="B8" s="3512"/>
      <c r="C8" s="3512"/>
      <c r="D8" s="3512">
        <f ca="1">结果表413!D122</f>
        <v>210</v>
      </c>
      <c r="E8" s="3512"/>
      <c r="F8" s="3512"/>
      <c r="G8" s="3512"/>
      <c r="H8" s="3512"/>
      <c r="I8" s="3512"/>
    </row>
    <row r="9" spans="1:9" ht="15">
      <c r="A9" s="3513" t="s">
        <v>925</v>
      </c>
      <c r="B9" s="3513"/>
      <c r="C9" s="3513"/>
      <c r="D9" s="3513" t="str">
        <f ca="1">结果表413!D123</f>
        <v>贰佰壹拾万元整</v>
      </c>
      <c r="E9" s="3513"/>
      <c r="F9" s="3513"/>
      <c r="G9" s="3513"/>
      <c r="H9" s="3513"/>
      <c r="I9" s="3513"/>
    </row>
    <row r="10" spans="1:9" ht="15.75">
      <c r="A10" s="3512" t="str">
        <f>结果表413!A124</f>
        <v/>
      </c>
      <c r="B10" s="3512"/>
      <c r="C10" s="3512"/>
      <c r="D10" s="3512" t="str">
        <f>结果表413!D124</f>
        <v>——</v>
      </c>
      <c r="E10" s="3512"/>
      <c r="F10" s="3512"/>
      <c r="G10" s="3512"/>
      <c r="H10" s="3512"/>
      <c r="I10" s="3512"/>
    </row>
    <row r="11" spans="1:9" ht="15">
      <c r="A11" s="3513" t="s">
        <v>925</v>
      </c>
      <c r="B11" s="3513"/>
      <c r="C11" s="3513"/>
      <c r="D11" s="3513" t="e">
        <f>结果表413!D125</f>
        <v>#VALUE!</v>
      </c>
      <c r="E11" s="3513"/>
      <c r="F11" s="3513"/>
      <c r="G11" s="3513"/>
      <c r="H11" s="3513"/>
      <c r="I11" s="3513"/>
    </row>
    <row r="12" spans="1:9" ht="15.75">
      <c r="A12" s="3512" t="str">
        <f>结果表413!A126</f>
        <v>抵押净值</v>
      </c>
      <c r="B12" s="3512"/>
      <c r="C12" s="3512"/>
      <c r="D12" s="3512">
        <f ca="1">结果表413!D126</f>
        <v>210</v>
      </c>
      <c r="E12" s="3512"/>
      <c r="F12" s="3512"/>
      <c r="G12" s="3512"/>
      <c r="H12" s="3512"/>
      <c r="I12" s="3512"/>
    </row>
    <row r="13" spans="1:9" ht="15.75" thickBot="1">
      <c r="A13" s="3510" t="s">
        <v>925</v>
      </c>
      <c r="B13" s="3510"/>
      <c r="C13" s="3510"/>
      <c r="D13" s="3510" t="str">
        <f ca="1">结果表413!D127</f>
        <v>贰佰壹拾万元整</v>
      </c>
      <c r="E13" s="3510"/>
      <c r="F13" s="3510"/>
      <c r="G13" s="3510"/>
      <c r="H13" s="3510"/>
      <c r="I13" s="3510"/>
    </row>
    <row r="14" spans="1:9" ht="15" thickTop="1">
      <c r="A14" s="3511" t="s">
        <v>930</v>
      </c>
      <c r="B14" s="3511"/>
      <c r="C14" s="3511"/>
      <c r="D14" s="3511"/>
      <c r="E14" s="3511"/>
      <c r="F14" s="3511"/>
      <c r="G14" s="3511"/>
      <c r="H14" s="3511"/>
      <c r="I14" s="3511"/>
    </row>
    <row r="16" spans="1:9" ht="18.75">
      <c r="A16" s="1506" t="s">
        <v>913</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601</v>
      </c>
      <c r="C1" s="1296">
        <f>项目基本情况!D3</f>
        <v>45405</v>
      </c>
      <c r="D1" s="1302" t="s">
        <v>602</v>
      </c>
      <c r="E1" s="1297">
        <f>'数据-取费表'!B22</f>
        <v>2</v>
      </c>
      <c r="F1" s="1302" t="s">
        <v>603</v>
      </c>
      <c r="G1" s="1298">
        <f ca="1">INDIRECT("d"&amp;$K$1)/100</f>
        <v>3.4500000000000003E-2</v>
      </c>
      <c r="H1" s="1302" t="s">
        <v>633</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604</v>
      </c>
      <c r="E2" s="1240"/>
      <c r="F2" s="1240" t="s">
        <v>605</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606</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607</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608</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609</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610</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611</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612</v>
      </c>
      <c r="C10" s="1268"/>
      <c r="D10" s="1268"/>
      <c r="E10" s="1268"/>
      <c r="F10" s="1268"/>
      <c r="G10" s="1268"/>
      <c r="H10" s="1268"/>
      <c r="I10" s="1242"/>
      <c r="J10" s="1242"/>
      <c r="K10" s="1268"/>
      <c r="L10" s="1269" t="s">
        <v>613</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614</v>
      </c>
      <c r="C11" s="1273" t="s">
        <v>615</v>
      </c>
      <c r="D11" s="1274" t="s">
        <v>616</v>
      </c>
      <c r="E11" s="1275"/>
      <c r="F11" s="1274" t="s">
        <v>617</v>
      </c>
      <c r="G11" s="1276"/>
      <c r="H11" s="1275"/>
      <c r="I11" s="1274" t="s">
        <v>618</v>
      </c>
      <c r="J11" s="1275"/>
      <c r="K11" s="1271"/>
      <c r="L11" s="1272" t="s">
        <v>614</v>
      </c>
      <c r="M11" s="1273" t="s">
        <v>615</v>
      </c>
      <c r="N11" s="1272" t="s">
        <v>619</v>
      </c>
      <c r="O11" s="1274" t="s">
        <v>620</v>
      </c>
      <c r="P11" s="1276"/>
      <c r="Q11" s="1276"/>
      <c r="R11" s="1276"/>
      <c r="S11" s="1276"/>
      <c r="T11" s="1275"/>
      <c r="U11" s="1274" t="s">
        <v>621</v>
      </c>
      <c r="V11" s="1276"/>
      <c r="W11" s="1275"/>
      <c r="X11" s="1272" t="s">
        <v>622</v>
      </c>
      <c r="Y11" s="1272" t="s">
        <v>623</v>
      </c>
      <c r="Z11" s="1272" t="s">
        <v>624</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625</v>
      </c>
      <c r="E12" s="1281" t="s">
        <v>626</v>
      </c>
      <c r="F12" s="1281" t="s">
        <v>627</v>
      </c>
      <c r="G12" s="1281" t="s">
        <v>628</v>
      </c>
      <c r="H12" s="1281" t="s">
        <v>610</v>
      </c>
      <c r="I12" s="1282" t="s">
        <v>629</v>
      </c>
      <c r="J12" s="1282" t="s">
        <v>629</v>
      </c>
      <c r="K12" s="1278"/>
      <c r="L12" s="1279"/>
      <c r="M12" s="1280"/>
      <c r="N12" s="1279"/>
      <c r="O12" s="1282" t="s">
        <v>630</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631</v>
      </c>
      <c r="C13" s="2820">
        <v>45159</v>
      </c>
      <c r="D13" s="2821">
        <v>3.45</v>
      </c>
      <c r="E13" s="2821">
        <f>D13</f>
        <v>3.45</v>
      </c>
      <c r="F13" s="2821">
        <f>D13</f>
        <v>3.45</v>
      </c>
      <c r="G13" s="2821">
        <f>D13</f>
        <v>3.45</v>
      </c>
      <c r="H13" s="2821">
        <v>4.2</v>
      </c>
      <c r="I13" s="1286"/>
      <c r="J13" s="1286"/>
      <c r="K13" s="1284"/>
      <c r="L13" s="1285" t="s">
        <v>631</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2309</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632</v>
      </c>
      <c r="Y42" s="1290" t="s">
        <v>632</v>
      </c>
      <c r="Z42" s="1290" t="s">
        <v>632</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632</v>
      </c>
      <c r="Y43" s="1290" t="s">
        <v>632</v>
      </c>
      <c r="Z43" s="1290" t="s">
        <v>632</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632</v>
      </c>
      <c r="Y44" s="1290" t="s">
        <v>632</v>
      </c>
      <c r="Z44" s="1290" t="s">
        <v>632</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632</v>
      </c>
      <c r="Y45" s="1290" t="s">
        <v>632</v>
      </c>
      <c r="Z45" s="1290" t="s">
        <v>632</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632</v>
      </c>
      <c r="Y46" s="1290" t="s">
        <v>632</v>
      </c>
      <c r="Z46" s="1290" t="s">
        <v>632</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632</v>
      </c>
      <c r="Y47" s="1290" t="s">
        <v>632</v>
      </c>
      <c r="Z47" s="1290" t="s">
        <v>632</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632</v>
      </c>
      <c r="Y48" s="1290" t="s">
        <v>632</v>
      </c>
      <c r="Z48" s="1290" t="s">
        <v>632</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632</v>
      </c>
      <c r="Y49" s="1290" t="s">
        <v>632</v>
      </c>
      <c r="Z49" s="1290" t="s">
        <v>632</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632</v>
      </c>
      <c r="Y50" s="1290" t="s">
        <v>632</v>
      </c>
      <c r="Z50" s="1290" t="s">
        <v>632</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632</v>
      </c>
      <c r="V51" s="1290" t="s">
        <v>632</v>
      </c>
      <c r="W51" s="1290" t="s">
        <v>632</v>
      </c>
      <c r="X51" s="1290" t="s">
        <v>632</v>
      </c>
      <c r="Y51" s="1290" t="s">
        <v>632</v>
      </c>
      <c r="Z51" s="1290" t="s">
        <v>632</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632</v>
      </c>
      <c r="J66" s="1290" t="s">
        <v>632</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5" t="s">
        <v>947</v>
      </c>
      <c r="B1" s="3525"/>
      <c r="C1" s="3525"/>
      <c r="D1" s="3525"/>
    </row>
    <row r="2" spans="1:4" ht="18">
      <c r="A2" s="3526" t="s">
        <v>931</v>
      </c>
      <c r="B2" s="3526"/>
      <c r="C2" s="3526"/>
      <c r="D2" s="3526"/>
    </row>
    <row r="3" spans="1:4" ht="18.75">
      <c r="A3" s="1509" t="s">
        <v>932</v>
      </c>
      <c r="B3" s="1509" t="s">
        <v>933</v>
      </c>
      <c r="C3" s="1509" t="s">
        <v>934</v>
      </c>
      <c r="D3" s="1509" t="s">
        <v>935</v>
      </c>
    </row>
    <row r="4" spans="1:4" ht="56.25" customHeight="1">
      <c r="A4" s="1510" t="str">
        <f>项目基本情况!B4</f>
        <v>郑燚</v>
      </c>
      <c r="B4" s="1511">
        <f ca="1">项目基本情况!C4</f>
        <v>1120070131</v>
      </c>
      <c r="C4" s="1512"/>
      <c r="D4" s="1513" t="s">
        <v>936</v>
      </c>
    </row>
    <row r="5" spans="1:4" ht="56.25" customHeight="1">
      <c r="A5" s="1510" t="str">
        <f>项目基本情况!D4</f>
        <v>吴薇</v>
      </c>
      <c r="B5" s="1511">
        <f ca="1">项目基本情况!E4</f>
        <v>1419970001</v>
      </c>
      <c r="C5" s="1514"/>
      <c r="D5" s="1513" t="s">
        <v>936</v>
      </c>
    </row>
    <row r="6" spans="1:4" ht="18">
      <c r="A6" s="3526" t="s">
        <v>937</v>
      </c>
      <c r="B6" s="3526"/>
      <c r="C6" s="3526"/>
      <c r="D6" s="3526"/>
    </row>
    <row r="7" spans="1:4" ht="18.75">
      <c r="A7" s="1509" t="s">
        <v>932</v>
      </c>
      <c r="B7" s="1511" t="s">
        <v>938</v>
      </c>
      <c r="C7" s="1509" t="s">
        <v>934</v>
      </c>
      <c r="D7" s="1509" t="s">
        <v>935</v>
      </c>
    </row>
    <row r="8" spans="1:4" ht="56.25" customHeight="1">
      <c r="A8" s="1515" t="s">
        <v>390</v>
      </c>
      <c r="B8" s="1515" t="s">
        <v>0</v>
      </c>
      <c r="C8" s="1512"/>
      <c r="D8" s="1513" t="s">
        <v>936</v>
      </c>
    </row>
    <row r="9" spans="1:4">
      <c r="A9" s="675"/>
      <c r="B9" s="675"/>
      <c r="C9" s="675"/>
      <c r="D9" s="675"/>
    </row>
    <row r="10" spans="1:4" ht="18.75">
      <c r="A10" s="1516" t="s">
        <v>939</v>
      </c>
      <c r="B10" s="675"/>
      <c r="C10" s="675"/>
      <c r="D10" s="675"/>
    </row>
    <row r="11" spans="1:4" ht="30" customHeight="1">
      <c r="A11" s="3527" t="s">
        <v>940</v>
      </c>
      <c r="B11" s="3519"/>
      <c r="C11" s="3519"/>
      <c r="D11" s="3519"/>
    </row>
    <row r="12" spans="1:4" ht="15.75">
      <c r="A12" s="35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4"/>
      <c r="C12" s="3524"/>
      <c r="D12" s="3524"/>
    </row>
    <row r="13" spans="1:4" ht="30" customHeight="1">
      <c r="A13" s="35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4"/>
      <c r="C13" s="3524"/>
      <c r="D13" s="3524"/>
    </row>
    <row r="14" spans="1:4" ht="15.75" customHeight="1">
      <c r="A14" s="3519" t="str">
        <f>IF(项目基本情况!B8="抵押","4.本次评估估价师所知悉的法定优先受偿款情况说明如下：","——")</f>
        <v>4.本次评估估价师所知悉的法定优先受偿款情况说明如下：</v>
      </c>
      <c r="B14" s="3524"/>
      <c r="C14" s="3524"/>
      <c r="D14" s="3524"/>
    </row>
    <row r="15" spans="1:4" ht="42" customHeight="1">
      <c r="A15" s="3519" t="str">
        <f>IF(项目基本情况!B8="抵押","（1）"&amp;CONCATENATE(项目基本情况!L20,项目基本情况!L21,项目基本情况!L22),"——")</f>
        <v>（1）根据估价对象《房屋所有权证》原件、《国有土地使用权》复印件，截至价值时点，估价对象抵押权未见登记。</v>
      </c>
      <c r="B15" s="3519"/>
      <c r="C15" s="3519"/>
      <c r="D15" s="3519"/>
    </row>
    <row r="16" spans="1:4" ht="30" customHeight="1">
      <c r="A16" s="3521" t="s">
        <v>941</v>
      </c>
      <c r="B16" s="3521"/>
      <c r="C16" s="3521"/>
      <c r="D16" s="3521"/>
    </row>
    <row r="17" spans="1:4" ht="144" customHeight="1">
      <c r="A17" s="3521" t="s">
        <v>942</v>
      </c>
      <c r="B17" s="3521"/>
      <c r="C17" s="3521"/>
      <c r="D17" s="3521"/>
    </row>
    <row r="18" spans="1:4" ht="15.75" customHeight="1">
      <c r="A18" s="3519" t="str">
        <f>IF(项目基本情况!B8="抵押",结果表413!K120,"——")</f>
        <v>故，本次评估不存在估价师知悉的法定优先受偿款</v>
      </c>
      <c r="B18" s="3519"/>
      <c r="C18" s="3519"/>
      <c r="D18" s="3519"/>
    </row>
    <row r="19" spans="1:4" ht="46.5" customHeight="1">
      <c r="A19" s="35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9"/>
      <c r="C19" s="3519"/>
      <c r="D19" s="3519"/>
    </row>
    <row r="20" spans="1:4" ht="57.75" customHeight="1">
      <c r="A20" s="3519" t="str">
        <f>IF(结果表413!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9"/>
      <c r="C20" s="3519"/>
      <c r="D20" s="3519"/>
    </row>
    <row r="21" spans="1:4" ht="57.75" customHeight="1">
      <c r="A21" s="3522" t="str">
        <f>IF(结果表413!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2"/>
      <c r="C21" s="3522"/>
      <c r="D21" s="3522"/>
    </row>
    <row r="22" spans="1:4" ht="18.75" customHeight="1">
      <c r="A22" s="3523" t="s">
        <v>943</v>
      </c>
      <c r="B22" s="3523"/>
      <c r="C22" s="3523"/>
      <c r="D22" s="3523"/>
    </row>
    <row r="23" spans="1:4">
      <c r="A23" s="1517"/>
      <c r="B23" s="1489"/>
      <c r="C23" s="1489"/>
      <c r="D23" s="1489"/>
    </row>
    <row r="24" spans="1:4">
      <c r="A24" s="1517"/>
      <c r="B24" s="1489"/>
      <c r="C24" s="1489"/>
      <c r="D24" s="1489"/>
    </row>
    <row r="25" spans="1:4" ht="18.75">
      <c r="A25" s="1518" t="s">
        <v>944</v>
      </c>
    </row>
    <row r="26" spans="1:4" ht="18">
      <c r="A26" s="1487"/>
    </row>
    <row r="27" spans="1:4" ht="18.75">
      <c r="A27" s="1487" t="s">
        <v>945</v>
      </c>
    </row>
    <row r="30" spans="1:4" ht="18.75">
      <c r="D30" s="1518" t="s">
        <v>946</v>
      </c>
    </row>
    <row r="31" spans="1:4" ht="13.5" customHeight="1">
      <c r="C31" s="3520">
        <v>42551</v>
      </c>
      <c r="D31" s="35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0" activePane="bottomLeft" state="frozen"/>
      <selection activeCell="C50" sqref="C50"/>
      <selection pane="bottomLeft" activeCell="D1" sqref="D1"/>
    </sheetView>
  </sheetViews>
  <sheetFormatPr defaultColWidth="14.5" defaultRowHeight="14.25"/>
  <cols>
    <col min="1" max="1" width="14.5" style="1525" customWidth="1"/>
    <col min="2" max="16384" width="14.5" style="1507"/>
  </cols>
  <sheetData>
    <row r="1" spans="1:7" s="1522" customFormat="1" ht="18.75">
      <c r="A1" s="1521" t="s">
        <v>948</v>
      </c>
    </row>
    <row r="3" spans="1:7">
      <c r="A3" s="1523" t="s">
        <v>55</v>
      </c>
      <c r="B3" s="1507" t="s">
        <v>949</v>
      </c>
      <c r="G3" s="1524"/>
    </row>
    <row r="4" spans="1:7">
      <c r="G4" s="1524"/>
    </row>
    <row r="5" spans="1:7">
      <c r="A5" s="1526" t="s">
        <v>46</v>
      </c>
      <c r="B5" s="1507" t="s">
        <v>950</v>
      </c>
      <c r="G5" s="1524"/>
    </row>
    <row r="6" spans="1:7">
      <c r="G6" s="1524"/>
    </row>
    <row r="7" spans="1:7">
      <c r="A7" s="1527" t="s">
        <v>108</v>
      </c>
      <c r="B7" s="1507" t="s">
        <v>951</v>
      </c>
      <c r="G7" s="1524"/>
    </row>
    <row r="8" spans="1:7">
      <c r="G8" s="1524"/>
    </row>
    <row r="9" spans="1:7">
      <c r="A9" s="1528" t="s">
        <v>47</v>
      </c>
      <c r="B9" s="1507" t="s">
        <v>952</v>
      </c>
    </row>
    <row r="11" spans="1:7">
      <c r="A11" s="1529" t="s">
        <v>48</v>
      </c>
      <c r="B11" s="1530" t="s">
        <v>45</v>
      </c>
    </row>
    <row r="13" spans="1:7">
      <c r="A13" s="1531" t="s">
        <v>953</v>
      </c>
    </row>
    <row r="15" spans="1:7" ht="13.5">
      <c r="A15" s="3533" t="s">
        <v>954</v>
      </c>
      <c r="B15" s="3528" t="s">
        <v>109</v>
      </c>
      <c r="C15" s="3529"/>
    </row>
    <row r="16" spans="1:7" ht="13.5">
      <c r="A16" s="3534"/>
      <c r="B16" s="3528" t="s">
        <v>42</v>
      </c>
      <c r="C16" s="3529"/>
    </row>
    <row r="17" spans="1:3" ht="13.5">
      <c r="A17" s="3534"/>
      <c r="B17" s="3531" t="s">
        <v>955</v>
      </c>
      <c r="C17" s="1532" t="s">
        <v>954</v>
      </c>
    </row>
    <row r="18" spans="1:3" ht="13.5">
      <c r="A18" s="3534"/>
      <c r="B18" s="3531"/>
      <c r="C18" s="1532" t="s">
        <v>956</v>
      </c>
    </row>
    <row r="19" spans="1:3" ht="13.5">
      <c r="A19" s="3534"/>
      <c r="B19" s="3531"/>
      <c r="C19" s="1532" t="s">
        <v>957</v>
      </c>
    </row>
    <row r="20" spans="1:3" ht="13.5">
      <c r="A20" s="3535"/>
      <c r="B20" s="3530" t="s">
        <v>958</v>
      </c>
      <c r="C20" s="3529"/>
    </row>
    <row r="21" spans="1:3" ht="13.5">
      <c r="A21" s="1533" t="s">
        <v>959</v>
      </c>
      <c r="B21" s="1534"/>
      <c r="C21" s="1535"/>
    </row>
    <row r="22" spans="1:3" ht="13.5">
      <c r="A22" s="3532" t="s">
        <v>960</v>
      </c>
      <c r="B22" s="3530" t="s">
        <v>961</v>
      </c>
      <c r="C22" s="3529"/>
    </row>
    <row r="23" spans="1:3" ht="13.5">
      <c r="A23" s="3532"/>
      <c r="B23" s="3530" t="s">
        <v>962</v>
      </c>
      <c r="C23" s="3529"/>
    </row>
    <row r="24" spans="1:3" ht="13.5">
      <c r="A24" s="3532"/>
      <c r="B24" s="3530" t="s">
        <v>963</v>
      </c>
      <c r="C24" s="3529"/>
    </row>
    <row r="25" spans="1:3" ht="13.5">
      <c r="A25" s="3532"/>
      <c r="B25" s="3531" t="s">
        <v>964</v>
      </c>
      <c r="C25" s="1532" t="s">
        <v>965</v>
      </c>
    </row>
    <row r="26" spans="1:3" ht="13.5">
      <c r="A26" s="3532"/>
      <c r="B26" s="3531"/>
      <c r="C26" s="1532" t="s">
        <v>966</v>
      </c>
    </row>
    <row r="27" spans="1:3" ht="13.5">
      <c r="A27" s="3532"/>
      <c r="B27" s="3531"/>
      <c r="C27" s="1532" t="s">
        <v>967</v>
      </c>
    </row>
    <row r="28" spans="1:3" ht="13.5">
      <c r="A28" s="3532"/>
      <c r="B28" s="3531"/>
      <c r="C28" s="1532" t="s">
        <v>968</v>
      </c>
    </row>
    <row r="29" spans="1:3" ht="13.5">
      <c r="A29" s="3532"/>
      <c r="B29" s="3531"/>
      <c r="C29" s="1532" t="s">
        <v>969</v>
      </c>
    </row>
    <row r="30" spans="1:3" ht="13.5">
      <c r="A30" s="3532"/>
      <c r="B30" s="3531"/>
      <c r="C30" s="1532" t="s">
        <v>970</v>
      </c>
    </row>
    <row r="31" spans="1:3" ht="13.5">
      <c r="A31" s="3532"/>
      <c r="B31" s="3531"/>
      <c r="C31" s="1532" t="s">
        <v>971</v>
      </c>
    </row>
    <row r="32" spans="1:3" ht="13.5">
      <c r="A32" s="3532"/>
      <c r="B32" s="3531"/>
      <c r="C32" s="1532" t="s">
        <v>972</v>
      </c>
    </row>
    <row r="33" spans="1:3" ht="13.5">
      <c r="A33" s="3532"/>
      <c r="B33" s="3531"/>
      <c r="C33" s="1532" t="s">
        <v>973</v>
      </c>
    </row>
    <row r="34" spans="1:3">
      <c r="A34" s="1536" t="s">
        <v>49</v>
      </c>
    </row>
    <row r="37" spans="1:3">
      <c r="A37" s="1536" t="s">
        <v>974</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topLeftCell="A4"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2135</v>
      </c>
      <c r="B2" s="2339">
        <f ca="1">TODAY()</f>
        <v>45406</v>
      </c>
      <c r="C2" s="2340" t="s">
        <v>2136</v>
      </c>
      <c r="D2" s="2340"/>
      <c r="E2" s="2340"/>
      <c r="F2" s="2336"/>
      <c r="G2" s="2336"/>
      <c r="H2" s="2336"/>
    </row>
    <row r="3" spans="1:8" ht="24" customHeight="1">
      <c r="A3" s="2341" t="s">
        <v>2137</v>
      </c>
      <c r="B3" s="2342" t="s">
        <v>2138</v>
      </c>
      <c r="C3" s="2342" t="s">
        <v>2139</v>
      </c>
      <c r="D3" s="2343" t="s">
        <v>2140</v>
      </c>
      <c r="E3" s="2344" t="s">
        <v>2141</v>
      </c>
      <c r="F3" s="1304" t="s">
        <v>2142</v>
      </c>
      <c r="G3" s="2342" t="s">
        <v>2139</v>
      </c>
      <c r="H3" s="2343" t="s">
        <v>2143</v>
      </c>
    </row>
    <row r="4" spans="1:8" ht="24" customHeight="1">
      <c r="A4" s="1304" t="s">
        <v>2144</v>
      </c>
      <c r="B4" s="1304">
        <f ca="1">IF(C4&lt;B2,"已过期",1119970066)</f>
        <v>1119970066</v>
      </c>
      <c r="C4" s="2345">
        <v>45937</v>
      </c>
      <c r="D4" s="2346" t="str">
        <f ca="1">A4&amp;"（注册号："&amp;B4&amp;"）"</f>
        <v>梁津（注册号：1119970066）</v>
      </c>
      <c r="E4" s="2347" t="s">
        <v>2144</v>
      </c>
      <c r="F4" s="1304">
        <f ca="1">IF(G4&lt;B2,"已过期",96010014)</f>
        <v>96010014</v>
      </c>
      <c r="G4" s="2348">
        <v>47118</v>
      </c>
      <c r="H4" s="2349" t="str">
        <f ca="1">E4&amp;"（注册号："&amp;F4&amp;"）"</f>
        <v>梁津（注册号：96010014）</v>
      </c>
    </row>
    <row r="5" spans="1:8" ht="24" customHeight="1">
      <c r="A5" s="1304" t="s">
        <v>2145</v>
      </c>
      <c r="B5" s="1304">
        <f ca="1">IF(C5&lt;B2,"已过期",1119970111)</f>
        <v>1119970111</v>
      </c>
      <c r="C5" s="2345">
        <v>45937</v>
      </c>
      <c r="D5" s="2346" t="str">
        <f t="shared" ref="D5:D15" ca="1" si="0">A5&amp;"（注册号："&amp;B5&amp;"）"</f>
        <v>叶凌（注册号：1119970111）</v>
      </c>
      <c r="E5" s="2347" t="s">
        <v>2145</v>
      </c>
      <c r="F5" s="1304">
        <f ca="1">IF(G5&lt;B2,"已过期",94010078)</f>
        <v>94010078</v>
      </c>
      <c r="G5" s="2348">
        <v>46387</v>
      </c>
      <c r="H5" s="2349" t="str">
        <f t="shared" ref="H5:H16" ca="1" si="1">E5&amp;"（注册号："&amp;F5&amp;"）"</f>
        <v>叶凌（注册号：94010078）</v>
      </c>
    </row>
    <row r="6" spans="1:8" ht="24" customHeight="1">
      <c r="A6" s="1304" t="s">
        <v>2146</v>
      </c>
      <c r="B6" s="1304">
        <f ca="1">IF(C6&lt;B2,"已过期",1120050019)</f>
        <v>1120050019</v>
      </c>
      <c r="C6" s="2345">
        <v>45410</v>
      </c>
      <c r="D6" s="2346" t="str">
        <f t="shared" ca="1" si="0"/>
        <v>王鹏（注册号：1120050019）</v>
      </c>
      <c r="E6" s="2347" t="s">
        <v>2146</v>
      </c>
      <c r="F6" s="1304">
        <f ca="1">IF(G6&lt;B2,"已过期",2002110030)</f>
        <v>2002110030</v>
      </c>
      <c r="G6" s="2348">
        <v>46387</v>
      </c>
      <c r="H6" s="2349" t="str">
        <f t="shared" ca="1" si="1"/>
        <v>王鹏（注册号：2002110030）</v>
      </c>
    </row>
    <row r="7" spans="1:8" ht="24" customHeight="1">
      <c r="A7" s="1304" t="s">
        <v>2147</v>
      </c>
      <c r="B7" s="1304">
        <f ca="1">IF(C7&lt;B2,"已过期",1120000080)</f>
        <v>1120000080</v>
      </c>
      <c r="C7" s="2345">
        <v>45937</v>
      </c>
      <c r="D7" s="2346" t="str">
        <f t="shared" ca="1" si="0"/>
        <v>欧红伟（注册号：1120000080）</v>
      </c>
      <c r="E7" s="2347" t="s">
        <v>2147</v>
      </c>
      <c r="F7" s="1304">
        <f ca="1">IF(G7&lt;B2,"已过期",2000110082)</f>
        <v>2000110082</v>
      </c>
      <c r="G7" s="2348">
        <v>46387</v>
      </c>
      <c r="H7" s="2349" t="str">
        <f t="shared" ca="1" si="1"/>
        <v>欧红伟（注册号：2000110082）</v>
      </c>
    </row>
    <row r="8" spans="1:8" ht="24" customHeight="1">
      <c r="A8" s="1304" t="s">
        <v>2148</v>
      </c>
      <c r="B8" s="1304">
        <f ca="1">IF(C8&lt;B2,"已过期",1419970001)</f>
        <v>1419970001</v>
      </c>
      <c r="C8" s="2345">
        <v>45937</v>
      </c>
      <c r="D8" s="2346" t="str">
        <f t="shared" ca="1" si="0"/>
        <v>吴薇（注册号：1419970001）</v>
      </c>
      <c r="E8" s="2347" t="s">
        <v>2148</v>
      </c>
      <c r="F8" s="1304">
        <f ca="1">IF(G8&lt;B2,"已过期",2002110125)</f>
        <v>2002110125</v>
      </c>
      <c r="G8" s="2348">
        <v>47118</v>
      </c>
      <c r="H8" s="2349" t="str">
        <f t="shared" ca="1" si="1"/>
        <v>吴薇（注册号：2002110125）</v>
      </c>
    </row>
    <row r="9" spans="1:8" ht="24" customHeight="1">
      <c r="A9" s="1304" t="s">
        <v>2149</v>
      </c>
      <c r="B9" s="1304">
        <f ca="1">IF(C9&lt;B2,"已过期",1120060040)</f>
        <v>1120060040</v>
      </c>
      <c r="C9" s="2350">
        <v>45592</v>
      </c>
      <c r="D9" s="2346" t="str">
        <f t="shared" ca="1" si="0"/>
        <v>陈颖（注册号：1120060040）</v>
      </c>
      <c r="E9" s="2347" t="s">
        <v>2149</v>
      </c>
      <c r="F9" s="1304">
        <f ca="1">IF(G9&lt;B2,"已过期",2004110096)</f>
        <v>2004110096</v>
      </c>
      <c r="G9" s="2348">
        <v>47118</v>
      </c>
      <c r="H9" s="2349" t="str">
        <f t="shared" ca="1" si="1"/>
        <v>陈颖（注册号：2004110096）</v>
      </c>
    </row>
    <row r="10" spans="1:8" ht="24" customHeight="1">
      <c r="A10" s="1304" t="s">
        <v>2150</v>
      </c>
      <c r="B10" s="1304">
        <f ca="1">IF(C10&lt;B2,"已过期",1120100036)</f>
        <v>1120100036</v>
      </c>
      <c r="C10" s="2350">
        <v>45752</v>
      </c>
      <c r="D10" s="2346" t="str">
        <f t="shared" ca="1" si="0"/>
        <v>崔锴（注册号：1120100036）</v>
      </c>
      <c r="E10" s="2347" t="s">
        <v>2150</v>
      </c>
      <c r="F10" s="1304">
        <f ca="1">IF(G10&lt;B2,"已过期",2010110070)</f>
        <v>2010110070</v>
      </c>
      <c r="G10" s="2348">
        <v>47907</v>
      </c>
      <c r="H10" s="2349" t="str">
        <f t="shared" ca="1" si="1"/>
        <v>崔锴（注册号：2010110070）</v>
      </c>
    </row>
    <row r="11" spans="1:8" ht="24" customHeight="1">
      <c r="A11" s="1304" t="s">
        <v>2151</v>
      </c>
      <c r="B11" s="1304">
        <f ca="1">IF(C11&lt;B2,"已过期",1120070131)</f>
        <v>1120070131</v>
      </c>
      <c r="C11" s="2345">
        <v>45937</v>
      </c>
      <c r="D11" s="2346" t="str">
        <f t="shared" ca="1" si="0"/>
        <v>郑燚（注册号：1120070131）</v>
      </c>
      <c r="E11" s="2347" t="s">
        <v>2151</v>
      </c>
      <c r="F11" s="1304">
        <f ca="1">IF(G11&lt;B2,"已过期",2014110011)</f>
        <v>2014110011</v>
      </c>
      <c r="G11" s="2348">
        <v>49302</v>
      </c>
      <c r="H11" s="2349" t="str">
        <f t="shared" ca="1" si="1"/>
        <v>郑燚（注册号：2014110011）</v>
      </c>
    </row>
    <row r="12" spans="1:8" ht="24" customHeight="1">
      <c r="A12" s="1304" t="s">
        <v>2152</v>
      </c>
      <c r="B12" s="1304">
        <f ca="1">IF(C12&lt;B2,"已过期",1120040230)</f>
        <v>1120040230</v>
      </c>
      <c r="C12" s="2350">
        <v>45937</v>
      </c>
      <c r="D12" s="2346" t="str">
        <f t="shared" ca="1" si="0"/>
        <v>苏海（注册号：1120040230）</v>
      </c>
      <c r="E12" s="2347" t="s">
        <v>2152</v>
      </c>
      <c r="F12" s="1304">
        <f ca="1">IF(G12&lt;B2,"已过期",98030020)</f>
        <v>98030020</v>
      </c>
      <c r="G12" s="2348">
        <v>47118</v>
      </c>
      <c r="H12" s="2349" t="str">
        <f t="shared" ca="1" si="1"/>
        <v>苏海（注册号：98030020）</v>
      </c>
    </row>
    <row r="13" spans="1:8" ht="24" customHeight="1">
      <c r="A13" s="1304" t="s">
        <v>2153</v>
      </c>
      <c r="B13" s="1304" t="str">
        <f ca="1">IF(C13&lt;B2,"已过期",1120020033)</f>
        <v>已过期</v>
      </c>
      <c r="C13" s="2345">
        <v>45375</v>
      </c>
      <c r="D13" s="2346" t="str">
        <f t="shared" ca="1" si="0"/>
        <v>刘敬东（注册号：已过期）</v>
      </c>
      <c r="E13" s="2347" t="s">
        <v>2153</v>
      </c>
      <c r="F13" s="1304">
        <f ca="1">IF(G13&lt;B2,"已过期",2000110137)</f>
        <v>2000110137</v>
      </c>
      <c r="G13" s="2348">
        <v>46387</v>
      </c>
      <c r="H13" s="2349" t="str">
        <f t="shared" ca="1" si="1"/>
        <v>刘敬东（注册号：2000110137）</v>
      </c>
    </row>
    <row r="14" spans="1:8" ht="24" customHeight="1">
      <c r="A14" s="1304" t="s">
        <v>2154</v>
      </c>
      <c r="B14" s="1304" t="str">
        <f ca="1">IF(C14&lt;B2,"已过期",1119980106)</f>
        <v>已过期</v>
      </c>
      <c r="C14" s="2350">
        <v>44969</v>
      </c>
      <c r="D14" s="2346" t="str">
        <f t="shared" ca="1" si="0"/>
        <v>刘俊财（注册号：已过期）</v>
      </c>
      <c r="E14" s="2347" t="s">
        <v>2154</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2155</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6" t="s">
        <v>2156</v>
      </c>
      <c r="B17" s="3536"/>
      <c r="C17" s="3536"/>
      <c r="D17" s="3536"/>
      <c r="E17" s="3536"/>
      <c r="F17" s="3536"/>
      <c r="G17" s="3536"/>
      <c r="H17" s="3536"/>
    </row>
    <row r="18" spans="1:8" ht="24" customHeight="1">
      <c r="A18" s="3537" t="s">
        <v>2157</v>
      </c>
      <c r="B18" s="3537"/>
      <c r="C18" s="3537"/>
      <c r="D18" s="2343"/>
      <c r="E18" s="3538" t="s">
        <v>2158</v>
      </c>
      <c r="F18" s="3537"/>
      <c r="G18" s="3537"/>
    </row>
    <row r="19" spans="1:8" s="2354" customFormat="1" ht="24" customHeight="1">
      <c r="A19" s="2353" t="s">
        <v>2159</v>
      </c>
      <c r="B19" s="2342" t="s">
        <v>2160</v>
      </c>
      <c r="C19" s="2342" t="s">
        <v>2139</v>
      </c>
      <c r="D19" s="2343"/>
      <c r="E19" s="2347" t="s">
        <v>2159</v>
      </c>
      <c r="F19" s="2342" t="s">
        <v>2160</v>
      </c>
      <c r="G19" s="2342" t="s">
        <v>2139</v>
      </c>
    </row>
    <row r="20" spans="1:8" s="2354" customFormat="1" ht="24" customHeight="1">
      <c r="A20" s="2355" t="s">
        <v>2161</v>
      </c>
      <c r="B20" s="2355" t="s">
        <v>2162</v>
      </c>
      <c r="C20" s="2348">
        <v>45898</v>
      </c>
      <c r="D20" s="2356"/>
      <c r="E20" s="2357" t="s">
        <v>2163</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306" priority="53">
      <formula>AND($C4-TODAY()&lt;30,TODAY()&lt;$C4)</formula>
    </cfRule>
  </conditionalFormatting>
  <conditionalFormatting sqref="C20:D20">
    <cfRule type="expression" dxfId="305" priority="52">
      <formula>AND($C20-TODAY()&lt;30,TODAY()&lt;$C20)</formula>
    </cfRule>
  </conditionalFormatting>
  <conditionalFormatting sqref="C20:D20 G4 C4:D5 C13:D13">
    <cfRule type="cellIs" dxfId="304" priority="54" stopIfTrue="1" operator="lessThan">
      <formula>$B$2</formula>
    </cfRule>
  </conditionalFormatting>
  <conditionalFormatting sqref="G5 G7 G9">
    <cfRule type="cellIs" dxfId="303" priority="51" stopIfTrue="1" operator="lessThan">
      <formula>$B$2</formula>
    </cfRule>
  </conditionalFormatting>
  <conditionalFormatting sqref="C6:D6 D14 D16">
    <cfRule type="expression" dxfId="302" priority="49">
      <formula>AND($C6-TODAY()&lt;30,TODAY()&lt;$C6)</formula>
    </cfRule>
  </conditionalFormatting>
  <conditionalFormatting sqref="G6 G8 G10 C6:D6 D7:D12 D14 D16">
    <cfRule type="cellIs" dxfId="301" priority="50" stopIfTrue="1" operator="lessThan">
      <formula>$B$2</formula>
    </cfRule>
  </conditionalFormatting>
  <conditionalFormatting sqref="D12">
    <cfRule type="expression" dxfId="300" priority="47">
      <formula>AND($C12-TODAY()&lt;30,TODAY()&lt;$C12)</formula>
    </cfRule>
  </conditionalFormatting>
  <conditionalFormatting sqref="D12">
    <cfRule type="cellIs" dxfId="299" priority="48" stopIfTrue="1" operator="lessThan">
      <formula>$B$2</formula>
    </cfRule>
  </conditionalFormatting>
  <conditionalFormatting sqref="C13:D13">
    <cfRule type="expression" dxfId="298" priority="45">
      <formula>AND($C13-TODAY()&lt;30,TODAY()&lt;$C13)</formula>
    </cfRule>
  </conditionalFormatting>
  <conditionalFormatting sqref="C13:D13">
    <cfRule type="cellIs" dxfId="297" priority="46" stopIfTrue="1" operator="lessThan">
      <formula>$B$2</formula>
    </cfRule>
  </conditionalFormatting>
  <conditionalFormatting sqref="D14">
    <cfRule type="expression" dxfId="296" priority="43">
      <formula>AND($C14-TODAY()&lt;30,TODAY()&lt;$C14)</formula>
    </cfRule>
  </conditionalFormatting>
  <conditionalFormatting sqref="D14">
    <cfRule type="cellIs" dxfId="295" priority="44" stopIfTrue="1" operator="lessThan">
      <formula>$B$2</formula>
    </cfRule>
  </conditionalFormatting>
  <conditionalFormatting sqref="G13">
    <cfRule type="cellIs" dxfId="294" priority="42" stopIfTrue="1" operator="lessThan">
      <formula>$B$2</formula>
    </cfRule>
  </conditionalFormatting>
  <conditionalFormatting sqref="B4:B11 F4:F11 B13 F13:F14">
    <cfRule type="cellIs" dxfId="293" priority="41" stopIfTrue="1" operator="equal">
      <formula>"已过期"</formula>
    </cfRule>
  </conditionalFormatting>
  <conditionalFormatting sqref="C7">
    <cfRule type="cellIs" dxfId="292" priority="38" stopIfTrue="1" operator="lessThan">
      <formula>$B$2</formula>
    </cfRule>
  </conditionalFormatting>
  <conditionalFormatting sqref="C7">
    <cfRule type="expression" dxfId="291" priority="37">
      <formula>AND($C7-TODAY()&lt;30,TODAY()&lt;$C7)</formula>
    </cfRule>
  </conditionalFormatting>
  <conditionalFormatting sqref="C8">
    <cfRule type="expression" dxfId="290" priority="35">
      <formula>AND($C8-TODAY()&lt;30,TODAY()&lt;$C8)</formula>
    </cfRule>
  </conditionalFormatting>
  <conditionalFormatting sqref="C8">
    <cfRule type="cellIs" dxfId="289" priority="36" stopIfTrue="1" operator="lessThan">
      <formula>$B$2</formula>
    </cfRule>
  </conditionalFormatting>
  <conditionalFormatting sqref="C11">
    <cfRule type="expression" dxfId="288" priority="33">
      <formula>AND($C11-TODAY()&lt;30,TODAY()&lt;$C11)</formula>
    </cfRule>
  </conditionalFormatting>
  <conditionalFormatting sqref="C11">
    <cfRule type="cellIs" dxfId="287" priority="34" stopIfTrue="1" operator="lessThan">
      <formula>$B$2</formula>
    </cfRule>
  </conditionalFormatting>
  <conditionalFormatting sqref="A16:C16">
    <cfRule type="cellIs" dxfId="286" priority="32" stopIfTrue="1" operator="equal">
      <formula>"已过期"</formula>
    </cfRule>
  </conditionalFormatting>
  <conditionalFormatting sqref="E16:G16">
    <cfRule type="cellIs" dxfId="285" priority="31" stopIfTrue="1" operator="equal">
      <formula>"已过期"</formula>
    </cfRule>
  </conditionalFormatting>
  <conditionalFormatting sqref="G11">
    <cfRule type="cellIs" dxfId="284" priority="30" stopIfTrue="1" operator="lessThan">
      <formula>$B$2</formula>
    </cfRule>
  </conditionalFormatting>
  <conditionalFormatting sqref="F12">
    <cfRule type="cellIs" dxfId="283" priority="29" stopIfTrue="1" operator="equal">
      <formula>"已过期"</formula>
    </cfRule>
  </conditionalFormatting>
  <conditionalFormatting sqref="G12">
    <cfRule type="cellIs" dxfId="282" priority="28" stopIfTrue="1" operator="lessThan">
      <formula>$B$2</formula>
    </cfRule>
  </conditionalFormatting>
  <conditionalFormatting sqref="C12">
    <cfRule type="cellIs" dxfId="281" priority="27" stopIfTrue="1" operator="lessThan">
      <formula>$B$2</formula>
    </cfRule>
  </conditionalFormatting>
  <conditionalFormatting sqref="C12">
    <cfRule type="expression" dxfId="280" priority="25">
      <formula>AND($C12-TODAY()&lt;30,TODAY()&lt;$C12)</formula>
    </cfRule>
  </conditionalFormatting>
  <conditionalFormatting sqref="C12">
    <cfRule type="cellIs" dxfId="279" priority="26" stopIfTrue="1" operator="lessThan">
      <formula>$B$2</formula>
    </cfRule>
  </conditionalFormatting>
  <conditionalFormatting sqref="B12">
    <cfRule type="cellIs" dxfId="278" priority="24" stopIfTrue="1" operator="equal">
      <formula>"已过期"</formula>
    </cfRule>
  </conditionalFormatting>
  <conditionalFormatting sqref="C9:C10">
    <cfRule type="expression" dxfId="277" priority="22">
      <formula>AND($C9-TODAY()&lt;30,TODAY()&lt;$C9)</formula>
    </cfRule>
  </conditionalFormatting>
  <conditionalFormatting sqref="C9:C10">
    <cfRule type="cellIs" dxfId="276" priority="23" stopIfTrue="1" operator="lessThan">
      <formula>$B$2</formula>
    </cfRule>
  </conditionalFormatting>
  <conditionalFormatting sqref="G21">
    <cfRule type="expression" dxfId="275" priority="20" stopIfTrue="1">
      <formula>AND(#REF!-TODAY()&lt;30,TODAY()&lt;#REF!)</formula>
    </cfRule>
  </conditionalFormatting>
  <conditionalFormatting sqref="G21">
    <cfRule type="cellIs" dxfId="274" priority="21" stopIfTrue="1" operator="lessThan">
      <formula>$B$2</formula>
    </cfRule>
  </conditionalFormatting>
  <conditionalFormatting sqref="C14">
    <cfRule type="expression" dxfId="273" priority="18">
      <formula>AND($C14-TODAY()&lt;30,TODAY()&lt;$C14)</formula>
    </cfRule>
  </conditionalFormatting>
  <conditionalFormatting sqref="C14">
    <cfRule type="cellIs" dxfId="272" priority="19" stopIfTrue="1" operator="lessThan">
      <formula>$B$2</formula>
    </cfRule>
  </conditionalFormatting>
  <conditionalFormatting sqref="C14">
    <cfRule type="expression" dxfId="271" priority="16">
      <formula>AND($C14-TODAY()&lt;30,TODAY()&lt;$C14)</formula>
    </cfRule>
  </conditionalFormatting>
  <conditionalFormatting sqref="C14">
    <cfRule type="cellIs" dxfId="270" priority="17" stopIfTrue="1" operator="lessThan">
      <formula>$B$2</formula>
    </cfRule>
  </conditionalFormatting>
  <conditionalFormatting sqref="B14">
    <cfRule type="cellIs" dxfId="269" priority="15" stopIfTrue="1" operator="equal">
      <formula>"已过期"</formula>
    </cfRule>
  </conditionalFormatting>
  <conditionalFormatting sqref="G14">
    <cfRule type="cellIs" dxfId="268" priority="14" stopIfTrue="1" operator="lessThan">
      <formula>$B$2</formula>
    </cfRule>
  </conditionalFormatting>
  <conditionalFormatting sqref="D15">
    <cfRule type="expression" dxfId="267" priority="12">
      <formula>AND($C15-TODAY()&lt;30,TODAY()&lt;$C15)</formula>
    </cfRule>
  </conditionalFormatting>
  <conditionalFormatting sqref="D15">
    <cfRule type="cellIs" dxfId="266" priority="13" stopIfTrue="1" operator="lessThan">
      <formula>$B$2</formula>
    </cfRule>
  </conditionalFormatting>
  <conditionalFormatting sqref="D15">
    <cfRule type="expression" dxfId="265" priority="10">
      <formula>AND($C15-TODAY()&lt;30,TODAY()&lt;$C15)</formula>
    </cfRule>
  </conditionalFormatting>
  <conditionalFormatting sqref="D15">
    <cfRule type="cellIs" dxfId="264" priority="11" stopIfTrue="1" operator="lessThan">
      <formula>$B$2</formula>
    </cfRule>
  </conditionalFormatting>
  <conditionalFormatting sqref="F15">
    <cfRule type="cellIs" dxfId="263" priority="9" stopIfTrue="1" operator="equal">
      <formula>"已过期"</formula>
    </cfRule>
  </conditionalFormatting>
  <conditionalFormatting sqref="C15">
    <cfRule type="expression" dxfId="262" priority="7">
      <formula>AND($C15-TODAY()&lt;30,TODAY()&lt;$C15)</formula>
    </cfRule>
  </conditionalFormatting>
  <conditionalFormatting sqref="C15">
    <cfRule type="cellIs" dxfId="261" priority="8" stopIfTrue="1" operator="lessThan">
      <formula>$B$2</formula>
    </cfRule>
  </conditionalFormatting>
  <conditionalFormatting sqref="C15">
    <cfRule type="expression" dxfId="260" priority="5">
      <formula>AND($C15-TODAY()&lt;30,TODAY()&lt;$C15)</formula>
    </cfRule>
  </conditionalFormatting>
  <conditionalFormatting sqref="C15">
    <cfRule type="cellIs" dxfId="259" priority="6" stopIfTrue="1" operator="lessThan">
      <formula>$B$2</formula>
    </cfRule>
  </conditionalFormatting>
  <conditionalFormatting sqref="B15">
    <cfRule type="cellIs" dxfId="258" priority="4" stopIfTrue="1" operator="equal">
      <formula>"已过期"</formula>
    </cfRule>
  </conditionalFormatting>
  <conditionalFormatting sqref="G15">
    <cfRule type="cellIs" dxfId="257" priority="3" stopIfTrue="1" operator="lessThan">
      <formula>$B$2</formula>
    </cfRule>
  </conditionalFormatting>
  <conditionalFormatting sqref="G20">
    <cfRule type="expression" dxfId="256" priority="1" stopIfTrue="1">
      <formula>AND(#REF!-TODAY()&lt;30,TODAY()&lt;#REF!)</formula>
    </cfRule>
  </conditionalFormatting>
  <conditionalFormatting sqref="G20">
    <cfRule type="cellIs" dxfId="2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196</vt:i4>
      </vt:variant>
    </vt:vector>
  </HeadingPairs>
  <TitlesOfParts>
    <vt:vector size="2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结果表413</vt:lpstr>
      <vt:lpstr>成本法</vt:lpstr>
      <vt:lpstr>成本法 (元)</vt:lpstr>
      <vt:lpstr>假设开发法</vt:lpstr>
      <vt:lpstr>收益法</vt:lpstr>
      <vt:lpstr>比较法-办公售价413</vt:lpstr>
      <vt:lpstr>收益法 (元)413</vt:lpstr>
      <vt:lpstr>收益法-酒店模型</vt:lpstr>
      <vt:lpstr>收益法（汇总）</vt:lpstr>
      <vt:lpstr>比较法-住宅</vt:lpstr>
      <vt:lpstr>比较法-商业</vt:lpstr>
      <vt:lpstr>比较法-办公 租金</vt:lpstr>
      <vt:lpstr>结果表414</vt:lpstr>
      <vt:lpstr>比较法-办公售价414</vt:lpstr>
      <vt:lpstr>收益法 (元)414</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租金'!Print_Area</vt:lpstr>
      <vt:lpstr>'比较法-办公售价413'!Print_Area</vt:lpstr>
      <vt:lpstr>'比较法-办公售价414'!Print_Area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结果表413!Print_Area</vt:lpstr>
      <vt:lpstr>结果表414!Print_Area</vt:lpstr>
      <vt:lpstr>收益法!Print_Area</vt:lpstr>
      <vt:lpstr>'收益法 (元)413'!Print_Area</vt:lpstr>
      <vt:lpstr>'收益法 (元)414'!Print_Area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租金'!办公层高</vt:lpstr>
      <vt:lpstr>'比较法-办公售价413'!办公层高</vt:lpstr>
      <vt:lpstr>'比较法-办公售价414'!办公层高</vt:lpstr>
      <vt:lpstr>办公层高</vt:lpstr>
      <vt:lpstr>'比较法-办公 租金'!办公朝向</vt:lpstr>
      <vt:lpstr>'比较法-办公售价413'!办公朝向</vt:lpstr>
      <vt:lpstr>'比较法-办公售价414'!办公朝向</vt:lpstr>
      <vt:lpstr>办公朝向</vt:lpstr>
      <vt:lpstr>'比较法-办公 租金'!办公道路级别</vt:lpstr>
      <vt:lpstr>'比较法-办公售价413'!办公道路级别</vt:lpstr>
      <vt:lpstr>'比较法-办公售价414'!办公道路级别</vt:lpstr>
      <vt:lpstr>办公道路级别</vt:lpstr>
      <vt:lpstr>'比较法-办公 租金'!办公公共部分装修</vt:lpstr>
      <vt:lpstr>'比较法-办公售价413'!办公公共部分装修</vt:lpstr>
      <vt:lpstr>'比较法-办公售价414'!办公公共部分装修</vt:lpstr>
      <vt:lpstr>办公公共部分装修</vt:lpstr>
      <vt:lpstr>'比较法-办公 租金'!办公基础设施水平</vt:lpstr>
      <vt:lpstr>'比较法-办公售价413'!办公基础设施水平</vt:lpstr>
      <vt:lpstr>'比较法-办公售价414'!办公基础设施水平</vt:lpstr>
      <vt:lpstr>办公基础设施水平</vt:lpstr>
      <vt:lpstr>办公集聚程度</vt:lpstr>
      <vt:lpstr>'比较法-办公 租金'!办公建筑结构</vt:lpstr>
      <vt:lpstr>'比较法-办公售价413'!办公建筑结构</vt:lpstr>
      <vt:lpstr>'比较法-办公售价414'!办公建筑结构</vt:lpstr>
      <vt:lpstr>办公建筑结构</vt:lpstr>
      <vt:lpstr>'比较法-办公 租金'!办公建筑类型</vt:lpstr>
      <vt:lpstr>'比较法-办公售价413'!办公建筑类型</vt:lpstr>
      <vt:lpstr>'比较法-办公售价414'!办公建筑类型</vt:lpstr>
      <vt:lpstr>办公建筑类型</vt:lpstr>
      <vt:lpstr>'比较法-办公 租金'!办公交易情况</vt:lpstr>
      <vt:lpstr>'比较法-办公售价413'!办公交易情况</vt:lpstr>
      <vt:lpstr>'比较法-办公售价414'!办公交易情况</vt:lpstr>
      <vt:lpstr>办公交易情况</vt:lpstr>
      <vt:lpstr>'比较法-办公 租金'!办公楼层</vt:lpstr>
      <vt:lpstr>'比较法-办公售价413'!办公楼层</vt:lpstr>
      <vt:lpstr>'比较法-办公售价414'!办公楼层</vt:lpstr>
      <vt:lpstr>办公楼层</vt:lpstr>
      <vt:lpstr>'比较法-办公 租金'!办公内部装修</vt:lpstr>
      <vt:lpstr>'比较法-办公售价413'!办公内部装修</vt:lpstr>
      <vt:lpstr>'比较法-办公售价414'!办公内部装修</vt:lpstr>
      <vt:lpstr>办公内部装修</vt:lpstr>
      <vt:lpstr>'比较法-办公 租金'!办公物业管理</vt:lpstr>
      <vt:lpstr>'比较法-办公售价413'!办公物业管理</vt:lpstr>
      <vt:lpstr>'比较法-办公售价414'!办公物业管理</vt:lpstr>
      <vt:lpstr>办公物业管理</vt:lpstr>
      <vt:lpstr>'比较法-办公 租金'!办公用途</vt:lpstr>
      <vt:lpstr>'比较法-办公售价413'!办公用途</vt:lpstr>
      <vt:lpstr>'比较法-办公售价414'!办公用途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'比较法-办公售价413'!写字楼等级</vt:lpstr>
      <vt:lpstr>'比较法-办公售价414'!写字楼等级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2024-04-24T02:15:13Z</dcterms:modified>
</cp:coreProperties>
</file>