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9" i="66" l="1"/>
  <c r="D18" i="66"/>
  <c r="D15" i="66"/>
  <c r="D17" i="66"/>
  <c r="D16" i="66"/>
  <c r="B27" i="9"/>
  <c r="D27" i="9"/>
  <c r="D30" i="9"/>
  <c r="B30" i="9"/>
  <c r="C19" i="66"/>
  <c r="B19" i="66"/>
  <c r="C18" i="66"/>
  <c r="B18" i="66"/>
  <c r="C17" i="66"/>
  <c r="B17" i="66"/>
  <c r="C16" i="66"/>
  <c r="B16" i="66"/>
  <c r="C15" i="66"/>
  <c r="B15" i="66"/>
  <c r="C33" i="21"/>
  <c r="C40" i="39"/>
  <c r="F15" i="15"/>
  <c r="F17" i="15"/>
  <c r="B22" i="1"/>
  <c r="C2" i="65"/>
  <c r="F21" i="15"/>
  <c r="F20" i="6"/>
  <c r="F19" i="6"/>
  <c r="C20" i="6"/>
  <c r="C19" i="6"/>
  <c r="D101" i="21"/>
  <c r="D77" i="21"/>
  <c r="E77" i="21"/>
  <c r="F77" i="21"/>
  <c r="D79" i="21"/>
  <c r="E79" i="21"/>
  <c r="D81" i="21"/>
  <c r="E81" i="21"/>
  <c r="F81" i="21"/>
  <c r="D85" i="21"/>
  <c r="F23" i="21"/>
  <c r="F33" i="21"/>
  <c r="AA33" i="21"/>
  <c r="R47" i="21"/>
  <c r="H33" i="21"/>
  <c r="AB33" i="21"/>
  <c r="J33" i="21"/>
  <c r="AC33" i="21"/>
  <c r="V47" i="21"/>
  <c r="E19" i="6"/>
  <c r="E32" i="6"/>
  <c r="J51" i="69"/>
  <c r="L51" i="69"/>
  <c r="J50" i="69"/>
  <c r="L50" i="69"/>
  <c r="J49" i="69"/>
  <c r="L49" i="69"/>
  <c r="J48" i="69"/>
  <c r="L48" i="69"/>
  <c r="J47" i="69"/>
  <c r="L47" i="69"/>
  <c r="J46" i="69"/>
  <c r="L46" i="69"/>
  <c r="J45" i="69"/>
  <c r="L45" i="69"/>
  <c r="J44" i="69"/>
  <c r="L44" i="69"/>
  <c r="J43" i="69"/>
  <c r="L43" i="69"/>
  <c r="J42" i="69"/>
  <c r="L42" i="69"/>
  <c r="J41" i="69"/>
  <c r="L41" i="69"/>
  <c r="J40" i="69"/>
  <c r="L40" i="69"/>
  <c r="J39" i="69"/>
  <c r="L39" i="69"/>
  <c r="J38" i="69"/>
  <c r="L38" i="69"/>
  <c r="J37" i="69"/>
  <c r="L37" i="69"/>
  <c r="J36" i="69"/>
  <c r="L36" i="69"/>
  <c r="J35" i="69"/>
  <c r="L35" i="69"/>
  <c r="J34" i="69"/>
  <c r="L34" i="69"/>
  <c r="J33" i="69"/>
  <c r="L33" i="69"/>
  <c r="J32" i="69"/>
  <c r="L32" i="69"/>
  <c r="J31" i="69"/>
  <c r="L31" i="69"/>
  <c r="J30" i="69"/>
  <c r="L30" i="69"/>
  <c r="J29" i="69"/>
  <c r="L29" i="69"/>
  <c r="J28" i="69"/>
  <c r="L28" i="69"/>
  <c r="J27" i="69"/>
  <c r="L27" i="69"/>
  <c r="J26" i="69"/>
  <c r="L26" i="69"/>
  <c r="J25" i="69"/>
  <c r="L25" i="69"/>
  <c r="J24" i="69"/>
  <c r="L24" i="69"/>
  <c r="J23" i="69"/>
  <c r="L23" i="69"/>
  <c r="J22" i="69"/>
  <c r="L22" i="69"/>
  <c r="J21" i="69"/>
  <c r="L21" i="69"/>
  <c r="J20" i="69"/>
  <c r="L20" i="69"/>
  <c r="J19" i="69"/>
  <c r="L19" i="69"/>
  <c r="J18" i="69"/>
  <c r="L18" i="69"/>
  <c r="J17" i="69"/>
  <c r="L17" i="69"/>
  <c r="J16" i="69"/>
  <c r="L16" i="69"/>
  <c r="J15" i="69"/>
  <c r="L15" i="69"/>
  <c r="J14" i="69"/>
  <c r="L14" i="69"/>
  <c r="J13" i="69"/>
  <c r="L13" i="69"/>
  <c r="J12" i="69"/>
  <c r="L12" i="69"/>
  <c r="J11" i="69"/>
  <c r="L11" i="69"/>
  <c r="J10" i="69"/>
  <c r="L10" i="69"/>
  <c r="J9" i="69"/>
  <c r="L9" i="69"/>
  <c r="J8" i="69"/>
  <c r="L8" i="69"/>
  <c r="J7" i="69"/>
  <c r="L7" i="69"/>
  <c r="J6" i="69"/>
  <c r="L6" i="69"/>
  <c r="J5" i="69"/>
  <c r="L5" i="69"/>
  <c r="J4" i="69"/>
  <c r="L4" i="69"/>
  <c r="J3" i="69"/>
  <c r="L3" i="69"/>
  <c r="J2" i="69"/>
  <c r="L2" i="69"/>
  <c r="D3" i="4"/>
  <c r="AH5" i="59"/>
  <c r="AG5" i="59"/>
  <c r="AE5" i="59"/>
  <c r="AF5" i="59"/>
  <c r="AD5" i="59"/>
  <c r="Q6" i="59"/>
  <c r="Q5" i="59"/>
  <c r="P6" i="59"/>
  <c r="P5" i="59"/>
  <c r="O6" i="59"/>
  <c r="O5" i="59"/>
  <c r="N6" i="59"/>
  <c r="N5" i="59"/>
  <c r="B2" i="1"/>
  <c r="G19" i="46"/>
  <c r="M19" i="46"/>
  <c r="I20" i="46"/>
  <c r="A6" i="1"/>
  <c r="A7" i="1"/>
  <c r="J50" i="15"/>
  <c r="J51" i="15"/>
  <c r="M47" i="15"/>
  <c r="C1" i="65"/>
  <c r="H1" i="65"/>
  <c r="I5" i="3"/>
  <c r="K5" i="3"/>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H13" i="3"/>
  <c r="H14" i="3"/>
  <c r="AE7" i="59"/>
  <c r="AF7" i="59"/>
  <c r="AG7" i="59"/>
  <c r="AH7" i="59"/>
  <c r="AD7" i="59"/>
  <c r="Q7" i="59"/>
  <c r="P7" i="59"/>
  <c r="O7" i="59"/>
  <c r="N7" i="59"/>
  <c r="N8" i="59"/>
  <c r="Q8" i="59"/>
  <c r="P8" i="59"/>
  <c r="O8" i="59"/>
  <c r="L4" i="9"/>
  <c r="A30" i="51"/>
  <c r="M4" i="9"/>
  <c r="A30" i="64"/>
  <c r="K59" i="15"/>
  <c r="P62" i="15"/>
  <c r="P75" i="15"/>
  <c r="Q74" i="44"/>
  <c r="Q61" i="44"/>
  <c r="Q60" i="44"/>
  <c r="Q53" i="44"/>
  <c r="J51" i="44"/>
  <c r="J52" i="44"/>
  <c r="M48" i="44"/>
  <c r="A16" i="55"/>
  <c r="A15" i="55"/>
  <c r="L26" i="4"/>
  <c r="A10" i="55"/>
  <c r="A9" i="55"/>
  <c r="B60" i="63"/>
  <c r="A8" i="55"/>
  <c r="A6" i="54"/>
  <c r="B49" i="63"/>
  <c r="A8" i="54"/>
  <c r="A7" i="54"/>
  <c r="A27" i="51"/>
  <c r="D5" i="46"/>
  <c r="Q9" i="59"/>
  <c r="O9" i="59"/>
  <c r="N10" i="59"/>
  <c r="O10" i="59"/>
  <c r="P10" i="59"/>
  <c r="Q10" i="59"/>
  <c r="N9" i="59"/>
  <c r="P9" i="59"/>
  <c r="E11" i="59"/>
  <c r="K75" i="9"/>
  <c r="K6" i="4"/>
  <c r="O76" i="9"/>
  <c r="L76" i="9"/>
  <c r="K76" i="9"/>
  <c r="B22" i="31"/>
  <c r="E16" i="66"/>
  <c r="F16" i="66"/>
  <c r="E17" i="66"/>
  <c r="F17" i="66"/>
  <c r="E18" i="66"/>
  <c r="F18" i="66"/>
  <c r="E20" i="66"/>
  <c r="F20" i="66"/>
  <c r="E21" i="66"/>
  <c r="F21" i="66"/>
  <c r="E22" i="66"/>
  <c r="F22" i="66"/>
  <c r="E23" i="66"/>
  <c r="F23" i="66"/>
  <c r="B3" i="66"/>
  <c r="B10" i="59"/>
  <c r="B9" i="59"/>
  <c r="B7" i="59"/>
  <c r="B6" i="59"/>
  <c r="B5" i="59"/>
  <c r="E7" i="59"/>
  <c r="E6" i="59"/>
  <c r="E5" i="59"/>
  <c r="F7" i="59"/>
  <c r="F6" i="59"/>
  <c r="F5"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N1" i="65"/>
  <c r="T7" i="59"/>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1" i="59"/>
  <c r="F11" i="59"/>
  <c r="F10" i="59"/>
  <c r="F9" i="59"/>
  <c r="P11" i="59"/>
  <c r="O11" i="59"/>
  <c r="C11" i="59"/>
  <c r="N11" i="59"/>
  <c r="B11" i="59"/>
  <c r="S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C27" i="59"/>
  <c r="D27" i="59"/>
  <c r="N24" i="59"/>
  <c r="B25" i="59"/>
  <c r="B26" i="59"/>
  <c r="B27" i="59"/>
  <c r="S27" i="59"/>
  <c r="D24" i="59"/>
  <c r="Q23" i="59"/>
  <c r="P23" i="59"/>
  <c r="O23" i="59"/>
  <c r="N23" i="59"/>
  <c r="Q22" i="59"/>
  <c r="AB22" i="59"/>
  <c r="P22" i="59"/>
  <c r="O22" i="59"/>
  <c r="Y22" i="59"/>
  <c r="Z22" i="59"/>
  <c r="N22" i="59"/>
  <c r="X22" i="59"/>
  <c r="Q21" i="59"/>
  <c r="P21" i="59"/>
  <c r="AA21" i="59"/>
  <c r="O21" i="59"/>
  <c r="Y21" i="59"/>
  <c r="Z21" i="59"/>
  <c r="N21" i="59"/>
  <c r="X21" i="59"/>
  <c r="Q20" i="59"/>
  <c r="P20" i="59"/>
  <c r="O20" i="59"/>
  <c r="C21" i="59"/>
  <c r="C22" i="59"/>
  <c r="C23" i="59"/>
  <c r="D23" i="59"/>
  <c r="N20" i="59"/>
  <c r="B21" i="59"/>
  <c r="B22" i="59"/>
  <c r="B23" i="59"/>
  <c r="S23" i="59"/>
  <c r="D20" i="59"/>
  <c r="Q19" i="59"/>
  <c r="P19" i="59"/>
  <c r="AA19" i="59"/>
  <c r="O19" i="59"/>
  <c r="Y19" i="59"/>
  <c r="Z19" i="59"/>
  <c r="N19" i="59"/>
  <c r="X19" i="59"/>
  <c r="Q18" i="59"/>
  <c r="P18" i="59"/>
  <c r="AA18" i="59"/>
  <c r="O18" i="59"/>
  <c r="N18" i="59"/>
  <c r="X18" i="59"/>
  <c r="Q17" i="59"/>
  <c r="P17" i="59"/>
  <c r="AA17" i="59"/>
  <c r="O17" i="59"/>
  <c r="Y17" i="59"/>
  <c r="Z17" i="59"/>
  <c r="N17" i="59"/>
  <c r="X17" i="59"/>
  <c r="Q16" i="59"/>
  <c r="F17" i="59"/>
  <c r="P16" i="59"/>
  <c r="E17" i="59"/>
  <c r="E18" i="59"/>
  <c r="E19" i="59"/>
  <c r="U19" i="59"/>
  <c r="O16" i="59"/>
  <c r="N16" i="59"/>
  <c r="D16" i="59"/>
  <c r="Q15" i="59"/>
  <c r="P15" i="59"/>
  <c r="AA15" i="59"/>
  <c r="O15" i="59"/>
  <c r="N15" i="59"/>
  <c r="Q14" i="59"/>
  <c r="P14" i="59"/>
  <c r="O14" i="59"/>
  <c r="N14" i="59"/>
  <c r="X14" i="59"/>
  <c r="Q13" i="59"/>
  <c r="P13" i="59"/>
  <c r="AA13" i="59"/>
  <c r="O13" i="59"/>
  <c r="N13" i="59"/>
  <c r="Q12" i="59"/>
  <c r="P12" i="59"/>
  <c r="O12" i="59"/>
  <c r="C13" i="59"/>
  <c r="C14" i="59"/>
  <c r="C15" i="59"/>
  <c r="D15" i="59"/>
  <c r="N12" i="59"/>
  <c r="B13" i="59"/>
  <c r="B14" i="59"/>
  <c r="B15" i="59"/>
  <c r="S15" i="59"/>
  <c r="D12" i="59"/>
  <c r="X3" i="59"/>
  <c r="X11" i="59"/>
  <c r="AA10" i="59"/>
  <c r="Y9" i="59"/>
  <c r="Z9" i="59"/>
  <c r="Y11" i="59"/>
  <c r="Z11" i="59"/>
  <c r="AB11" i="59"/>
  <c r="AB8" i="59"/>
  <c r="AB10"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21" i="59"/>
  <c r="D25" i="59"/>
  <c r="C34" i="59"/>
  <c r="C35" i="59"/>
  <c r="D35" i="59"/>
  <c r="C38" i="59"/>
  <c r="C39" i="59"/>
  <c r="D39" i="59"/>
  <c r="C42" i="59"/>
  <c r="D42" i="59"/>
  <c r="C46" i="59"/>
  <c r="C47" i="59"/>
  <c r="D47" i="59"/>
  <c r="E49" i="59"/>
  <c r="P48" i="59"/>
  <c r="B49" i="59"/>
  <c r="N48" i="59"/>
  <c r="Q50" i="59"/>
  <c r="T51" i="59"/>
  <c r="D51" i="59"/>
  <c r="P51" i="59"/>
  <c r="U51" i="59"/>
  <c r="Q51" i="59"/>
  <c r="E54" i="59"/>
  <c r="E53" i="59"/>
  <c r="D55" i="59"/>
  <c r="C58" i="59"/>
  <c r="E58" i="59"/>
  <c r="E57" i="59"/>
  <c r="D59" i="59"/>
  <c r="C62" i="59"/>
  <c r="E62" i="59"/>
  <c r="E61" i="59"/>
  <c r="D63" i="59"/>
  <c r="C66" i="59"/>
  <c r="C70" i="59"/>
  <c r="D70" i="59"/>
  <c r="U16" i="4"/>
  <c r="S16" i="4"/>
  <c r="Q16" i="4"/>
  <c r="O16" i="4"/>
  <c r="N16" i="4"/>
  <c r="M16" i="4"/>
  <c r="K16" i="4"/>
  <c r="P49" i="59"/>
  <c r="C69" i="59"/>
  <c r="D69" i="59"/>
  <c r="D62" i="59"/>
  <c r="C61" i="59"/>
  <c r="D61" i="59"/>
  <c r="D66" i="59"/>
  <c r="C65" i="59"/>
  <c r="D65" i="59"/>
  <c r="D58" i="59"/>
  <c r="C57" i="59"/>
  <c r="D57" i="59"/>
  <c r="N49" i="59"/>
  <c r="C43" i="59"/>
  <c r="D43" i="59"/>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8" i="1"/>
  <c r="A9" i="1"/>
  <c r="A10" i="1"/>
  <c r="R10" i="1"/>
  <c r="A11"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0" i="6"/>
  <c r="E21" i="6"/>
  <c r="K8" i="1"/>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F5"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W24" i="35"/>
  <c r="B7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H35" i="21"/>
  <c r="F108" i="21"/>
  <c r="G108" i="21"/>
  <c r="H108" i="21"/>
  <c r="I108" i="21"/>
  <c r="J108" i="21"/>
  <c r="K108" i="21"/>
  <c r="L108" i="21"/>
  <c r="M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E13" i="11"/>
  <c r="E12" i="11"/>
  <c r="BB12" i="3"/>
  <c r="F9" i="12"/>
  <c r="D9" i="12"/>
  <c r="E9" i="12"/>
  <c r="G9" i="12"/>
  <c r="J5" i="3"/>
  <c r="BE10"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c r="H10" i="21"/>
  <c r="U10" i="21"/>
  <c r="H39" i="21"/>
  <c r="AB39" i="21"/>
  <c r="J34" i="21"/>
  <c r="W34" i="21"/>
  <c r="H36" i="21"/>
  <c r="F35" i="21"/>
  <c r="AA35" i="21"/>
  <c r="W33" i="21"/>
  <c r="U33" i="21"/>
  <c r="J10" i="21"/>
  <c r="AC10" i="21"/>
  <c r="H26" i="21"/>
  <c r="J12" i="21"/>
  <c r="H12" i="21"/>
  <c r="U12" i="21"/>
  <c r="J26" i="21"/>
  <c r="W26" i="21"/>
  <c r="F26" i="21"/>
  <c r="AA26" i="21"/>
  <c r="AB41" i="21"/>
  <c r="S41" i="21"/>
  <c r="W41" i="21"/>
  <c r="S10" i="39"/>
  <c r="U30" i="37"/>
  <c r="E103" i="37"/>
  <c r="F103" i="37"/>
  <c r="F39" i="37"/>
  <c r="S39" i="37"/>
  <c r="F29" i="36"/>
  <c r="AA29" i="36"/>
  <c r="F16" i="36"/>
  <c r="AA16" i="36"/>
  <c r="U22" i="36"/>
  <c r="W22" i="36"/>
  <c r="AC31" i="36"/>
  <c r="J33" i="36"/>
  <c r="W33" i="36"/>
  <c r="AC27" i="35"/>
  <c r="U31" i="35"/>
  <c r="W36" i="35"/>
  <c r="S31" i="35"/>
  <c r="F36" i="34"/>
  <c r="S36" i="34"/>
  <c r="W9" i="34"/>
  <c r="S34" i="34"/>
  <c r="H39" i="33"/>
  <c r="AB39" i="33"/>
  <c r="F26" i="33"/>
  <c r="AA26" i="33"/>
  <c r="U9" i="33"/>
  <c r="W38" i="33"/>
  <c r="S40" i="33"/>
  <c r="S33" i="33"/>
  <c r="U38" i="33"/>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F36" i="33"/>
  <c r="S36" i="33"/>
  <c r="F19" i="33"/>
  <c r="S19" i="33"/>
  <c r="J19" i="33"/>
  <c r="S10" i="21"/>
  <c r="W40" i="33"/>
  <c r="G125" i="21"/>
  <c r="AB30" i="36"/>
  <c r="AC34" i="36"/>
  <c r="S22" i="35"/>
  <c r="H29" i="35"/>
  <c r="U34" i="37"/>
  <c r="AA34" i="37"/>
  <c r="AC43" i="34"/>
  <c r="AB42" i="34"/>
  <c r="W36" i="34"/>
  <c r="J19" i="34"/>
  <c r="AC19" i="34"/>
  <c r="G113" i="33"/>
  <c r="H113" i="33"/>
  <c r="I113" i="33"/>
  <c r="J113" i="33"/>
  <c r="K113" i="33"/>
  <c r="L113" i="33"/>
  <c r="M113" i="33"/>
  <c r="H37" i="33"/>
  <c r="AB37" i="33"/>
  <c r="S37" i="33"/>
  <c r="W43" i="34"/>
  <c r="W42" i="34"/>
  <c r="AA42" i="34"/>
  <c r="S42" i="34"/>
  <c r="W38" i="34"/>
  <c r="S38" i="34"/>
  <c r="J37" i="33"/>
  <c r="W37" i="33"/>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AZ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Z508" i="3"/>
  <c r="AC506" i="3"/>
  <c r="G506" i="3"/>
  <c r="BQ506" i="3"/>
  <c r="G502" i="3"/>
  <c r="G498" i="3"/>
  <c r="BQ504" i="3"/>
  <c r="BQ502" i="3"/>
  <c r="BL502" i="3"/>
  <c r="BQ500" i="3"/>
  <c r="BL500" i="3"/>
  <c r="BQ498" i="3"/>
  <c r="BQ496" i="3"/>
  <c r="AC494" i="3"/>
  <c r="BQ494" i="3"/>
  <c r="BL493" i="3"/>
  <c r="AZ493"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BT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54" i="3"/>
  <c r="H13" i="39"/>
  <c r="AB13" i="39"/>
  <c r="AA36" i="35"/>
  <c r="H11" i="37"/>
  <c r="AB11" i="37"/>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S33"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AC40" i="37"/>
  <c r="W40" i="37"/>
  <c r="S28" i="33"/>
  <c r="S14" i="21"/>
  <c r="AA44" i="34"/>
  <c r="AB29" i="35"/>
  <c r="U29" i="35"/>
  <c r="AC19" i="33"/>
  <c r="W19" i="33"/>
  <c r="U43" i="34"/>
  <c r="AB43" i="34"/>
  <c r="AC34" i="37"/>
  <c r="S35" i="37"/>
  <c r="AA35" i="37"/>
  <c r="AB10" i="35"/>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c r="F66" i="9"/>
  <c r="P72" i="9"/>
  <c r="F71" i="9"/>
  <c r="F72" i="9"/>
  <c r="AC14" i="40"/>
  <c r="W35" i="40"/>
  <c r="S33" i="40"/>
  <c r="AB32" i="40"/>
  <c r="AC47" i="39"/>
  <c r="S47" i="39"/>
  <c r="AB25" i="39"/>
  <c r="U37" i="34"/>
  <c r="AB37" i="34"/>
  <c r="AC41" i="40"/>
  <c r="W41" i="40"/>
  <c r="U41" i="40"/>
  <c r="J23" i="40"/>
  <c r="AC23" i="40"/>
  <c r="F23" i="40"/>
  <c r="S23" i="40"/>
  <c r="AC15" i="40"/>
  <c r="W15" i="40"/>
  <c r="W27"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G11" i="1"/>
  <c r="M22" i="44"/>
  <c r="F32" i="15"/>
  <c r="F59" i="15"/>
  <c r="F29" i="12"/>
  <c r="F70" i="9"/>
  <c r="D86" i="9"/>
  <c r="M20" i="44"/>
  <c r="F31" i="43"/>
  <c r="C31" i="43"/>
  <c r="F30" i="44"/>
  <c r="C30" i="44"/>
  <c r="C25" i="12"/>
  <c r="AC25" i="36"/>
  <c r="S23" i="36"/>
  <c r="S8" i="36"/>
  <c r="AA26" i="36"/>
  <c r="AA28" i="36"/>
  <c r="U25" i="36"/>
  <c r="H20" i="36"/>
  <c r="U20" i="36"/>
  <c r="F68" i="36"/>
  <c r="G68" i="36"/>
  <c r="J20" i="36"/>
  <c r="AC20" i="36"/>
  <c r="F20" i="36"/>
  <c r="S20" i="36"/>
  <c r="F62" i="36"/>
  <c r="G62" i="36"/>
  <c r="J14" i="36"/>
  <c r="AC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c r="F26" i="35"/>
  <c r="H26" i="35"/>
  <c r="U26" i="35"/>
  <c r="AB9" i="37"/>
  <c r="W12" i="37"/>
  <c r="AA9" i="37"/>
  <c r="S17" i="37"/>
  <c r="W28" i="37"/>
  <c r="AB37" i="37"/>
  <c r="AA31" i="37"/>
  <c r="S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c r="H25" i="34"/>
  <c r="F25" i="34"/>
  <c r="AA25" i="34"/>
  <c r="J23" i="34"/>
  <c r="F86" i="34"/>
  <c r="G86" i="34"/>
  <c r="F23" i="34"/>
  <c r="AA23" i="34"/>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F88" i="40"/>
  <c r="G88" i="40"/>
  <c r="F19" i="40"/>
  <c r="AA19" i="40"/>
  <c r="H19" i="40"/>
  <c r="J19" i="40"/>
  <c r="W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c r="C53" i="10"/>
  <c r="A25" i="64"/>
  <c r="A18" i="51"/>
  <c r="B14" i="63"/>
  <c r="BA16" i="3"/>
  <c r="AZ16" i="3"/>
  <c r="BA17" i="3"/>
  <c r="AZ17" i="3"/>
  <c r="F3" i="35"/>
  <c r="K1" i="43"/>
  <c r="K1" i="12"/>
  <c r="AZ15" i="3"/>
  <c r="BK5" i="3"/>
  <c r="BO5" i="3"/>
  <c r="BP5" i="3"/>
  <c r="BN5" i="3"/>
  <c r="BL18" i="3"/>
  <c r="AZ18" i="3"/>
  <c r="BC5" i="3"/>
  <c r="E8" i="6"/>
  <c r="BD5" i="3"/>
  <c r="BR5" i="3"/>
  <c r="G28" i="6"/>
  <c r="G30" i="6"/>
  <c r="G31" i="6"/>
  <c r="BS5" i="3"/>
  <c r="BQ5" i="3"/>
  <c r="F28" i="6"/>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C16" i="46"/>
  <c r="C5" i="46"/>
  <c r="F39" i="46"/>
  <c r="H13" i="48"/>
  <c r="H11" i="48"/>
  <c r="E8" i="46"/>
  <c r="C7" i="46"/>
  <c r="I17" i="46"/>
  <c r="E17" i="46"/>
  <c r="D71" i="46"/>
  <c r="D84" i="46"/>
  <c r="E80" i="46"/>
  <c r="B78" i="46"/>
  <c r="D69" i="46"/>
  <c r="E69" i="46"/>
  <c r="B67" i="46"/>
  <c r="E47" i="46"/>
  <c r="E58" i="46"/>
  <c r="B56" i="46"/>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c r="C59" i="34"/>
  <c r="D59" i="34"/>
  <c r="E59" i="34"/>
  <c r="C48" i="35"/>
  <c r="D48" i="35"/>
  <c r="C52" i="37"/>
  <c r="D52" i="37"/>
  <c r="C67" i="40"/>
  <c r="D65" i="40"/>
  <c r="P24" i="46"/>
  <c r="B68" i="40"/>
  <c r="P25" i="46"/>
  <c r="B73" i="39"/>
  <c r="P23" i="46"/>
  <c r="P21" i="46"/>
  <c r="P22" i="46"/>
  <c r="C72" i="39"/>
  <c r="D70" i="39"/>
  <c r="O19" i="46"/>
  <c r="H73" i="46"/>
  <c r="H74" i="46"/>
  <c r="H86" i="46"/>
  <c r="H82" i="46"/>
  <c r="H59" i="46"/>
  <c r="H60" i="46"/>
  <c r="H10" i="48"/>
  <c r="H87" i="46"/>
  <c r="H85" i="46"/>
  <c r="H83" i="46"/>
  <c r="K10" i="1"/>
  <c r="M10" i="1"/>
  <c r="O10" i="1"/>
  <c r="P10" i="1"/>
  <c r="S11" i="1"/>
  <c r="R11" i="1"/>
  <c r="S13" i="1"/>
  <c r="R13" i="1"/>
  <c r="B6" i="1"/>
  <c r="E6" i="1"/>
  <c r="B10" i="1"/>
  <c r="E10" i="1"/>
  <c r="S10" i="1"/>
  <c r="B8" i="1"/>
  <c r="E8" i="1"/>
  <c r="B12" i="1"/>
  <c r="E12" i="1"/>
  <c r="S12" i="1"/>
  <c r="K6" i="1"/>
  <c r="M6" i="1"/>
  <c r="C15" i="43"/>
  <c r="F66" i="36"/>
  <c r="G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F29" i="6"/>
  <c r="E29" i="6"/>
  <c r="K15" i="1"/>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c r="A17" i="51"/>
  <c r="B13" i="63"/>
  <c r="E5" i="6"/>
  <c r="D21" i="12"/>
  <c r="C21" i="12"/>
  <c r="G29" i="6"/>
  <c r="H72" i="46"/>
  <c r="A9" i="64"/>
  <c r="A9" i="51"/>
  <c r="B9" i="63"/>
  <c r="A25" i="51"/>
  <c r="B18" i="63"/>
  <c r="A3" i="55"/>
  <c r="B56" i="63"/>
  <c r="D72" i="39"/>
  <c r="E70" i="39"/>
  <c r="F70" i="39"/>
  <c r="D67" i="40"/>
  <c r="E65" i="40"/>
  <c r="F65" i="40"/>
  <c r="E4" i="4"/>
  <c r="C4" i="4"/>
  <c r="B20" i="55"/>
  <c r="B70" i="63"/>
  <c r="J18" i="36"/>
  <c r="W18" i="36"/>
  <c r="AE8" i="1"/>
  <c r="F33" i="44"/>
  <c r="F31" i="15"/>
  <c r="F58" i="15"/>
  <c r="M17" i="15"/>
  <c r="M19" i="44"/>
  <c r="AC18" i="36"/>
  <c r="AG6" i="1"/>
  <c r="L20" i="6"/>
  <c r="B21" i="55"/>
  <c r="B72" i="63"/>
  <c r="E67" i="40"/>
  <c r="E72" i="39"/>
  <c r="S8" i="1"/>
  <c r="S9" i="1"/>
  <c r="R9" i="1"/>
  <c r="R8" i="1"/>
  <c r="L46" i="15"/>
  <c r="C45" i="9"/>
  <c r="H14" i="66"/>
  <c r="B7" i="66"/>
  <c r="C44" i="9"/>
  <c r="G14" i="66"/>
  <c r="B6" i="66"/>
  <c r="O40" i="9"/>
  <c r="K31" i="9"/>
  <c r="K32" i="9"/>
  <c r="R7" i="54"/>
  <c r="B52" i="63"/>
  <c r="N69" i="9"/>
  <c r="M86" i="9"/>
  <c r="N86" i="9"/>
  <c r="K29" i="9"/>
  <c r="K30" i="9"/>
  <c r="N76" i="9"/>
  <c r="C46" i="9"/>
  <c r="K33" i="9"/>
  <c r="O41" i="9"/>
  <c r="I14" i="66"/>
  <c r="B8" i="66"/>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c r="F48" i="35"/>
  <c r="G48" i="35"/>
  <c r="H48" i="35"/>
  <c r="I48" i="35"/>
  <c r="J48" i="35"/>
  <c r="K48" i="35"/>
  <c r="L48" i="35"/>
  <c r="M48" i="35"/>
  <c r="N48" i="35"/>
  <c r="O48" i="35"/>
  <c r="AA23" i="39"/>
  <c r="S23" i="39"/>
  <c r="S29" i="39"/>
  <c r="AA29" i="39"/>
  <c r="E58" i="33"/>
  <c r="F58" i="33"/>
  <c r="G58" i="33"/>
  <c r="H58" i="33"/>
  <c r="I58" i="33"/>
  <c r="J58" i="33"/>
  <c r="K58" i="33"/>
  <c r="L58" i="33"/>
  <c r="M58" i="33"/>
  <c r="N58" i="33"/>
  <c r="O58" i="33"/>
  <c r="J7" i="33"/>
  <c r="H7" i="33"/>
  <c r="F7" i="33"/>
  <c r="F67" i="40"/>
  <c r="G65" i="40"/>
  <c r="F72" i="39"/>
  <c r="G70" i="39"/>
  <c r="E52" i="37"/>
  <c r="F52" i="37"/>
  <c r="G52" i="37"/>
  <c r="H52" i="37"/>
  <c r="I52" i="37"/>
  <c r="J52" i="37"/>
  <c r="K52" i="37"/>
  <c r="L52" i="37"/>
  <c r="M52" i="37"/>
  <c r="N52" i="37"/>
  <c r="O52" i="37"/>
  <c r="J7" i="37"/>
  <c r="F59" i="34"/>
  <c r="G59" i="34"/>
  <c r="H59" i="34"/>
  <c r="I59" i="34"/>
  <c r="J59" i="34"/>
  <c r="K59" i="34"/>
  <c r="L59" i="34"/>
  <c r="M59" i="34"/>
  <c r="N59" i="34"/>
  <c r="O59" i="34"/>
  <c r="F46" i="36"/>
  <c r="G46" i="36"/>
  <c r="H46" i="36"/>
  <c r="I46" i="36"/>
  <c r="J46" i="36"/>
  <c r="K46" i="36"/>
  <c r="L46" i="36"/>
  <c r="M46" i="36"/>
  <c r="N46" i="36"/>
  <c r="O46" i="36"/>
  <c r="F7" i="36"/>
  <c r="E28" i="6"/>
  <c r="F30" i="6"/>
  <c r="M83" i="9"/>
  <c r="N83" i="9"/>
  <c r="N89" i="9"/>
  <c r="O89" i="9"/>
  <c r="M85" i="9"/>
  <c r="N85" i="9"/>
  <c r="M87" i="9"/>
  <c r="N87" i="9"/>
  <c r="M88" i="9"/>
  <c r="N88" i="9"/>
  <c r="M84" i="9"/>
  <c r="N84" i="9"/>
  <c r="O39" i="9"/>
  <c r="R6" i="54"/>
  <c r="B50" i="63"/>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c r="A2" i="55"/>
  <c r="B55" i="63"/>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c r="S7" i="21"/>
  <c r="I7" i="21"/>
  <c r="J7" i="21"/>
  <c r="G7" i="21"/>
  <c r="H7" i="21"/>
  <c r="AB7" i="2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K12" i="1"/>
  <c r="M12" i="1"/>
  <c r="D1" i="57"/>
  <c r="E10" i="57"/>
  <c r="I21" i="57"/>
  <c r="AA12" i="59"/>
  <c r="AA3" i="59"/>
  <c r="AA9" i="59"/>
  <c r="AA11" i="59"/>
  <c r="Y16" i="59"/>
  <c r="Z16" i="59"/>
  <c r="C17" i="59"/>
  <c r="AA20" i="59"/>
  <c r="E21" i="59"/>
  <c r="E22" i="59"/>
  <c r="E23" i="59"/>
  <c r="U23" i="59"/>
  <c r="T55" i="59"/>
  <c r="C54" i="59"/>
  <c r="D11" i="59"/>
  <c r="T11" i="59"/>
  <c r="C10" i="59"/>
  <c r="S31" i="39"/>
  <c r="T39" i="59"/>
  <c r="D38" i="59"/>
  <c r="D46" i="59"/>
  <c r="D13" i="59"/>
  <c r="Y3" i="59"/>
  <c r="Z3" i="59"/>
  <c r="Y10" i="59"/>
  <c r="Z10" i="59"/>
  <c r="Y8" i="59"/>
  <c r="Z8" i="59"/>
  <c r="AA8" i="59"/>
  <c r="X9" i="59"/>
  <c r="X12" i="59"/>
  <c r="AB12" i="59"/>
  <c r="F13" i="59"/>
  <c r="F14" i="59"/>
  <c r="F15" i="59"/>
  <c r="V15" i="59"/>
  <c r="AB3" i="59"/>
  <c r="AB9" i="59"/>
  <c r="Y13" i="59"/>
  <c r="Z13" i="59"/>
  <c r="AB13" i="59"/>
  <c r="Y14" i="59"/>
  <c r="Z14" i="59"/>
  <c r="AB14" i="59"/>
  <c r="Y15" i="59"/>
  <c r="Z15" i="59"/>
  <c r="AB15" i="59"/>
  <c r="X16" i="59"/>
  <c r="B17" i="59"/>
  <c r="B18" i="59"/>
  <c r="B19" i="59"/>
  <c r="S19" i="59"/>
  <c r="X8" i="59"/>
  <c r="X10" i="59"/>
  <c r="AB16" i="59"/>
  <c r="AB18" i="59"/>
  <c r="X20" i="59"/>
  <c r="AB20" i="59"/>
  <c r="F21" i="59"/>
  <c r="F22" i="59"/>
  <c r="F23" i="59"/>
  <c r="V23" i="59"/>
  <c r="AB21" i="59"/>
  <c r="C30" i="59"/>
  <c r="D30" i="59"/>
  <c r="D29" i="59"/>
  <c r="Q49" i="59"/>
  <c r="Q48" i="59"/>
  <c r="O51" i="59"/>
  <c r="C50" i="59"/>
  <c r="L16" i="4"/>
  <c r="K17" i="4"/>
  <c r="A22" i="51"/>
  <c r="B16" i="63"/>
  <c r="Y12" i="59"/>
  <c r="Z12" i="59"/>
  <c r="X13" i="59"/>
  <c r="AA14" i="59"/>
  <c r="X15" i="59"/>
  <c r="AA16" i="59"/>
  <c r="AB17" i="59"/>
  <c r="Y18" i="59"/>
  <c r="Z18" i="59"/>
  <c r="AB19" i="59"/>
  <c r="Y20" i="59"/>
  <c r="Z20" i="59"/>
  <c r="V11" i="59"/>
  <c r="K77" i="9"/>
  <c r="K79" i="9"/>
  <c r="K81" i="9"/>
  <c r="AI10" i="46"/>
  <c r="AI12" i="46"/>
  <c r="AE10" i="46"/>
  <c r="AE12" i="46"/>
  <c r="AA10" i="46"/>
  <c r="AA12" i="46"/>
  <c r="U11" i="59"/>
  <c r="E10" i="59"/>
  <c r="E9" i="59"/>
  <c r="Y7" i="59"/>
  <c r="Z7" i="59"/>
  <c r="AA7" i="59"/>
  <c r="X7" i="59"/>
  <c r="Y6" i="59"/>
  <c r="Z6" i="59"/>
  <c r="AA6" i="59"/>
  <c r="AB6" i="59"/>
  <c r="BL14" i="3"/>
  <c r="BA14" i="3"/>
  <c r="A28" i="64"/>
  <c r="C5" i="59"/>
  <c r="D5" i="59"/>
  <c r="D6" i="59"/>
  <c r="AB7" i="59"/>
  <c r="X6" i="59"/>
  <c r="X5" i="59"/>
  <c r="Y5" i="59"/>
  <c r="Z5" i="59"/>
  <c r="AB5" i="59"/>
  <c r="G13" i="3"/>
  <c r="BL13" i="3"/>
  <c r="F19" i="21"/>
  <c r="G81" i="21"/>
  <c r="H19" i="21"/>
  <c r="J19" i="21"/>
  <c r="F79" i="21"/>
  <c r="F17" i="2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c r="D12" i="11"/>
  <c r="C12" i="11"/>
  <c r="AP16" i="1"/>
  <c r="F22" i="11"/>
  <c r="H16" i="1"/>
  <c r="I4" i="6"/>
  <c r="G3" i="46"/>
  <c r="AI11" i="46"/>
  <c r="AI13" i="46"/>
  <c r="M43" i="9"/>
  <c r="D18" i="9"/>
  <c r="M44" i="9"/>
  <c r="S23" i="21"/>
  <c r="AA23" i="21"/>
  <c r="E4" i="52"/>
  <c r="E16" i="52"/>
  <c r="B11" i="52"/>
  <c r="E8" i="52"/>
  <c r="B5" i="52"/>
  <c r="B13" i="52"/>
  <c r="B22" i="52"/>
  <c r="E21" i="52"/>
  <c r="B14" i="52"/>
  <c r="E6" i="52"/>
  <c r="E7" i="52"/>
  <c r="E85" i="21"/>
  <c r="F101" i="21"/>
  <c r="G101" i="21"/>
  <c r="J32" i="21"/>
  <c r="J13" i="39"/>
  <c r="F83" i="39"/>
  <c r="U7" i="21"/>
  <c r="AA7" i="21"/>
  <c r="AZ14" i="3"/>
  <c r="BA5" i="3"/>
  <c r="E27" i="6"/>
  <c r="K23" i="6"/>
  <c r="M23" i="6"/>
  <c r="I23" i="6"/>
  <c r="S23" i="6"/>
  <c r="K22" i="6"/>
  <c r="M22" i="6"/>
  <c r="I22" i="6"/>
  <c r="S22" i="6"/>
  <c r="Q16" i="1"/>
  <c r="F18" i="11"/>
  <c r="C18" i="11"/>
  <c r="G16" i="1"/>
  <c r="J12" i="40"/>
  <c r="G1" i="15"/>
  <c r="G5" i="3"/>
  <c r="B3" i="3"/>
  <c r="E413" i="3"/>
  <c r="K24" i="6"/>
  <c r="M24" i="6"/>
  <c r="I24" i="6"/>
  <c r="S24" i="6"/>
  <c r="K21" i="6"/>
  <c r="M21" i="6"/>
  <c r="I21" i="6"/>
  <c r="S21" i="6"/>
  <c r="L27" i="6"/>
  <c r="D101" i="46"/>
  <c r="L101" i="46"/>
  <c r="AB11" i="46"/>
  <c r="AB13" i="46"/>
  <c r="G1" i="44"/>
  <c r="O9" i="1"/>
  <c r="P9" i="1"/>
  <c r="O13" i="1"/>
  <c r="P13" i="1"/>
  <c r="O7" i="1"/>
  <c r="P7" i="1"/>
  <c r="O11" i="1"/>
  <c r="P11" i="1"/>
  <c r="O8" i="1"/>
  <c r="P8" i="1"/>
  <c r="O12" i="1"/>
  <c r="P12" i="1"/>
  <c r="O6" i="1"/>
  <c r="E20" i="46"/>
  <c r="C4" i="65"/>
  <c r="B39" i="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c r="S17" i="21"/>
  <c r="E64" i="39"/>
  <c r="E59" i="40"/>
  <c r="K20" i="6"/>
  <c r="K26" i="6"/>
  <c r="M26" i="6"/>
  <c r="I26" i="6"/>
  <c r="S26" i="6"/>
  <c r="H32" i="21"/>
  <c r="AB15" i="21"/>
  <c r="U15" i="21"/>
  <c r="AA15" i="21"/>
  <c r="S15" i="21"/>
  <c r="AC19" i="21"/>
  <c r="W19" i="21"/>
  <c r="AZ13" i="3"/>
  <c r="AZ5" i="3"/>
  <c r="BL5" i="3"/>
  <c r="O50" i="59"/>
  <c r="D50" i="59"/>
  <c r="C49" i="59"/>
  <c r="D54" i="59"/>
  <c r="C53" i="59"/>
  <c r="D53" i="59"/>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c r="G49" i="34"/>
  <c r="U7" i="34"/>
  <c r="AB7" i="35"/>
  <c r="T38" i="35"/>
  <c r="G38" i="35"/>
  <c r="U7" i="35"/>
  <c r="W7" i="36"/>
  <c r="AC7" i="36"/>
  <c r="V36" i="36"/>
  <c r="I36" i="36"/>
  <c r="AA7" i="37"/>
  <c r="R42" i="37"/>
  <c r="S7" i="37"/>
  <c r="E11" i="6"/>
  <c r="E14" i="6"/>
  <c r="AA7" i="36"/>
  <c r="R36" i="36"/>
  <c r="S7" i="36"/>
  <c r="W7" i="37"/>
  <c r="AC7" i="37"/>
  <c r="V42" i="37"/>
  <c r="I42" i="37"/>
  <c r="AB7" i="33"/>
  <c r="T48" i="33"/>
  <c r="G48" i="33"/>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c r="I49" i="34"/>
  <c r="AC7" i="35"/>
  <c r="V38" i="35"/>
  <c r="I38" i="35"/>
  <c r="W7" i="35"/>
  <c r="AB7" i="36"/>
  <c r="T36" i="36"/>
  <c r="G36" i="36"/>
  <c r="U7" i="36"/>
  <c r="U7" i="37"/>
  <c r="AB7" i="37"/>
  <c r="T42" i="37"/>
  <c r="G42" i="37"/>
  <c r="E15" i="6"/>
  <c r="K14" i="1"/>
  <c r="E30" i="6"/>
  <c r="E31" i="6"/>
  <c r="F7" i="34"/>
  <c r="H70" i="39"/>
  <c r="G72" i="39"/>
  <c r="H65" i="40"/>
  <c r="G67" i="40"/>
  <c r="AA7" i="33"/>
  <c r="R48" i="33"/>
  <c r="S7" i="33"/>
  <c r="AC7" i="33"/>
  <c r="V48" i="33"/>
  <c r="I48" i="33"/>
  <c r="W7" i="33"/>
  <c r="F24" i="43"/>
  <c r="C26" i="43"/>
  <c r="D24" i="43"/>
  <c r="F33" i="12"/>
  <c r="C34" i="12"/>
  <c r="D33" i="12"/>
  <c r="B40" i="1"/>
  <c r="F24" i="15"/>
  <c r="C24" i="15"/>
  <c r="Y11" i="46"/>
  <c r="Y13" i="46"/>
  <c r="B113" i="46"/>
  <c r="H101" i="46"/>
  <c r="C23" i="46"/>
  <c r="C21" i="46"/>
  <c r="AG11" i="46"/>
  <c r="AG13" i="46"/>
  <c r="C101" i="46"/>
  <c r="N101" i="46"/>
  <c r="J101" i="46"/>
  <c r="AJ11" i="46"/>
  <c r="AJ13" i="46"/>
  <c r="F22" i="46"/>
  <c r="N104" i="45"/>
  <c r="AA11" i="46"/>
  <c r="AA13" i="46"/>
  <c r="AH11" i="46"/>
  <c r="AH13" i="46"/>
  <c r="G22" i="46"/>
  <c r="F101" i="46"/>
  <c r="E101" i="46"/>
  <c r="M101" i="46"/>
  <c r="K101" i="46"/>
  <c r="I101" i="46"/>
  <c r="G101" i="46"/>
  <c r="AE11" i="46"/>
  <c r="AE13" i="46"/>
  <c r="H22" i="46"/>
  <c r="E22" i="46"/>
  <c r="AC11" i="46"/>
  <c r="AC13" i="46"/>
  <c r="AD11" i="46"/>
  <c r="AD13" i="46"/>
  <c r="AF11" i="46"/>
  <c r="AF13" i="46"/>
  <c r="Z7" i="46"/>
  <c r="Z11" i="46"/>
  <c r="Z13" i="46"/>
  <c r="H12" i="39"/>
  <c r="U12" i="39"/>
  <c r="F85" i="21"/>
  <c r="G85" i="21"/>
  <c r="H23" i="21"/>
  <c r="J23" i="21"/>
  <c r="AC32" i="21"/>
  <c r="W32" i="21"/>
  <c r="F32" i="21"/>
  <c r="H101" i="21"/>
  <c r="I101" i="21"/>
  <c r="J101" i="21"/>
  <c r="K101" i="21"/>
  <c r="L101" i="21"/>
  <c r="M101" i="21"/>
  <c r="AB32" i="21"/>
  <c r="U32" i="21"/>
  <c r="G83" i="39"/>
  <c r="H83" i="39"/>
  <c r="I83" i="39"/>
  <c r="J83" i="39"/>
  <c r="K83" i="39"/>
  <c r="L83" i="39"/>
  <c r="M83" i="39"/>
  <c r="F13" i="39"/>
  <c r="W13" i="39"/>
  <c r="AC13" i="39"/>
  <c r="K19" i="6"/>
  <c r="K27" i="6"/>
  <c r="K25" i="6"/>
  <c r="M25" i="6"/>
  <c r="I25" i="6"/>
  <c r="S25" i="6"/>
  <c r="C6" i="15"/>
  <c r="F49" i="15"/>
  <c r="M7" i="15"/>
  <c r="J6" i="15"/>
  <c r="F70" i="15"/>
  <c r="F67" i="15"/>
  <c r="Q72" i="15"/>
  <c r="L59" i="15"/>
  <c r="Q62" i="15"/>
  <c r="L58" i="15"/>
  <c r="Q61" i="15"/>
  <c r="F50" i="15"/>
  <c r="C27" i="15"/>
  <c r="F63" i="15"/>
  <c r="F64" i="15"/>
  <c r="F65" i="15"/>
  <c r="I54" i="15"/>
  <c r="L56" i="15"/>
  <c r="J53" i="15"/>
  <c r="Q53" i="15"/>
  <c r="J57" i="15"/>
  <c r="J55" i="15"/>
  <c r="J58" i="15"/>
  <c r="Q51" i="15"/>
  <c r="L60" i="15"/>
  <c r="Q58" i="15"/>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c r="L59" i="44"/>
  <c r="Q75" i="44"/>
  <c r="J58" i="44"/>
  <c r="J56" i="44"/>
  <c r="J59" i="44"/>
  <c r="Q52" i="44"/>
  <c r="I55" i="44"/>
  <c r="L57" i="44"/>
  <c r="J60" i="44"/>
  <c r="J54" i="44"/>
  <c r="F1" i="44"/>
  <c r="J61" i="44"/>
  <c r="Q50" i="44"/>
  <c r="C29" i="44"/>
  <c r="C8" i="44"/>
  <c r="M9" i="44"/>
  <c r="J8" i="44"/>
  <c r="Q73" i="44"/>
  <c r="J22" i="44"/>
  <c r="C36" i="44"/>
  <c r="P6" i="1"/>
  <c r="F17" i="11"/>
  <c r="C17" i="11"/>
  <c r="C19" i="11"/>
  <c r="F11" i="15"/>
  <c r="M11" i="15"/>
  <c r="J10" i="15"/>
  <c r="F13" i="44"/>
  <c r="C12" i="44"/>
  <c r="M13" i="44"/>
  <c r="J12" i="44"/>
  <c r="F21" i="43"/>
  <c r="P17" i="46"/>
  <c r="N17" i="46"/>
  <c r="O17" i="46"/>
  <c r="M17" i="46"/>
  <c r="C18" i="44"/>
  <c r="C16" i="15"/>
  <c r="C17" i="15"/>
  <c r="E3" i="6"/>
  <c r="AY6" i="3"/>
  <c r="I52" i="33"/>
  <c r="J52" i="33"/>
  <c r="R49" i="33"/>
  <c r="E48" i="33"/>
  <c r="I53" i="33"/>
  <c r="J53" i="33"/>
  <c r="I65" i="40"/>
  <c r="H67" i="40"/>
  <c r="I70" i="39"/>
  <c r="H72" i="39"/>
  <c r="E62" i="40"/>
  <c r="E67" i="39"/>
  <c r="G41" i="36"/>
  <c r="H41" i="36"/>
  <c r="G40" i="36"/>
  <c r="H40" i="36"/>
  <c r="I42" i="35"/>
  <c r="J42" i="35"/>
  <c r="D9" i="59"/>
  <c r="AA7" i="35"/>
  <c r="R38" i="35"/>
  <c r="S7" i="35"/>
  <c r="G52" i="33"/>
  <c r="H52" i="33"/>
  <c r="G53" i="33"/>
  <c r="H53" i="33"/>
  <c r="I46" i="37"/>
  <c r="J46" i="37"/>
  <c r="E66" i="39"/>
  <c r="E61" i="40"/>
  <c r="I40" i="36"/>
  <c r="J40" i="36"/>
  <c r="E16" i="6"/>
  <c r="S7" i="34"/>
  <c r="AA7" i="34"/>
  <c r="R49" i="34"/>
  <c r="K16" i="1"/>
  <c r="M14" i="1"/>
  <c r="G47" i="37"/>
  <c r="H47" i="37"/>
  <c r="G46" i="37"/>
  <c r="H46" i="37"/>
  <c r="I53" i="34"/>
  <c r="J53" i="34"/>
  <c r="E65" i="39"/>
  <c r="E60" i="40"/>
  <c r="AC17" i="21"/>
  <c r="W17" i="21"/>
  <c r="E36" i="36"/>
  <c r="I41" i="36"/>
  <c r="J41" i="36"/>
  <c r="R37" i="36"/>
  <c r="E63" i="39"/>
  <c r="E68" i="39"/>
  <c r="E58" i="40"/>
  <c r="E42" i="37"/>
  <c r="I47" i="37"/>
  <c r="J47" i="37"/>
  <c r="R43" i="37"/>
  <c r="G43" i="35"/>
  <c r="H43" i="35"/>
  <c r="G42" i="35"/>
  <c r="H42" i="35"/>
  <c r="G54" i="34"/>
  <c r="H54" i="34"/>
  <c r="G53" i="34"/>
  <c r="H53" i="34"/>
  <c r="C19" i="59"/>
  <c r="D18" i="59"/>
  <c r="D49" i="59"/>
  <c r="O48" i="59"/>
  <c r="O49" i="59"/>
  <c r="Q74" i="15"/>
  <c r="F1" i="15"/>
  <c r="F26" i="12"/>
  <c r="C27" i="12"/>
  <c r="D26" i="12"/>
  <c r="C32" i="12"/>
  <c r="D30" i="12"/>
  <c r="Q67" i="15"/>
  <c r="F26" i="44"/>
  <c r="C26" i="44"/>
  <c r="L47" i="44"/>
  <c r="Q75" i="15"/>
  <c r="C7" i="44"/>
  <c r="C34" i="44"/>
  <c r="Q62" i="44"/>
  <c r="AB12" i="39"/>
  <c r="H6" i="3"/>
  <c r="U23" i="21"/>
  <c r="AB23" i="21"/>
  <c r="T48" i="21"/>
  <c r="G48" i="21"/>
  <c r="AC23" i="21"/>
  <c r="V48" i="21"/>
  <c r="I48" i="21"/>
  <c r="I52" i="21"/>
  <c r="J52" i="21"/>
  <c r="W23" i="21"/>
  <c r="C48" i="15"/>
  <c r="AA32" i="21"/>
  <c r="R48" i="21"/>
  <c r="S32" i="21"/>
  <c r="AA13" i="39"/>
  <c r="S13" i="39"/>
  <c r="Q76" i="44"/>
  <c r="J5" i="15"/>
  <c r="J26" i="15"/>
  <c r="M19" i="6"/>
  <c r="I19" i="6"/>
  <c r="S19" i="6"/>
  <c r="S6" i="1"/>
  <c r="S16" i="1"/>
  <c r="AA12" i="39"/>
  <c r="S12" i="39"/>
  <c r="AC12" i="39"/>
  <c r="W12" i="39"/>
  <c r="AA12" i="40"/>
  <c r="S12" i="40"/>
  <c r="AB12" i="40"/>
  <c r="U12" i="40"/>
  <c r="Q54" i="44"/>
  <c r="AC6" i="3"/>
  <c r="E6" i="3"/>
  <c r="C115" i="46"/>
  <c r="D113" i="46"/>
  <c r="J22" i="46"/>
  <c r="I20" i="6"/>
  <c r="M27" i="6"/>
  <c r="S6" i="46"/>
  <c r="S2" i="46"/>
  <c r="S7" i="46"/>
  <c r="S5" i="46"/>
  <c r="S3" i="46"/>
  <c r="S4" i="46"/>
  <c r="J7" i="44"/>
  <c r="J28" i="44"/>
  <c r="J31" i="44"/>
  <c r="C15" i="12"/>
  <c r="J18" i="15"/>
  <c r="C23" i="43"/>
  <c r="D21" i="43"/>
  <c r="C10" i="15"/>
  <c r="C5" i="15"/>
  <c r="C52" i="15"/>
  <c r="C47" i="15"/>
  <c r="C20" i="11"/>
  <c r="C21" i="11"/>
  <c r="C22" i="11"/>
  <c r="C23" i="11"/>
  <c r="B2" i="11"/>
  <c r="AE7" i="1"/>
  <c r="C40" i="44"/>
  <c r="C43" i="37"/>
  <c r="B3" i="37"/>
  <c r="B2" i="37"/>
  <c r="C42" i="37"/>
  <c r="C37" i="36"/>
  <c r="B3" i="36"/>
  <c r="B2" i="36"/>
  <c r="C36" i="36"/>
  <c r="R39" i="35"/>
  <c r="E38" i="35"/>
  <c r="I72" i="39"/>
  <c r="J70" i="39"/>
  <c r="I67" i="40"/>
  <c r="J65" i="40"/>
  <c r="C48" i="33"/>
  <c r="C49" i="33"/>
  <c r="B3" i="33"/>
  <c r="B2" i="3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c r="C19" i="46"/>
  <c r="T19" i="59"/>
  <c r="E46" i="37"/>
  <c r="F46" i="37"/>
  <c r="E47" i="37"/>
  <c r="F47" i="37"/>
  <c r="E41" i="36"/>
  <c r="F41" i="36"/>
  <c r="E40" i="36"/>
  <c r="F40" i="36"/>
  <c r="M16" i="1"/>
  <c r="O14" i="1"/>
  <c r="R50" i="34"/>
  <c r="E49" i="34"/>
  <c r="E52" i="33"/>
  <c r="F52" i="33"/>
  <c r="E53" i="33"/>
  <c r="F53" i="33"/>
  <c r="D16" i="43"/>
  <c r="C16" i="43"/>
  <c r="D10" i="11"/>
  <c r="D44" i="9"/>
  <c r="E6" i="6"/>
  <c r="L38" i="9"/>
  <c r="B14" i="66"/>
  <c r="B1" i="66"/>
  <c r="C21" i="4"/>
  <c r="O5" i="54"/>
  <c r="B45" i="63"/>
  <c r="D45" i="9"/>
  <c r="D16" i="12"/>
  <c r="D46" i="9"/>
  <c r="G52" i="21"/>
  <c r="H52" i="21"/>
  <c r="G53" i="21"/>
  <c r="H53" i="21"/>
  <c r="E48" i="21"/>
  <c r="R49" i="21"/>
  <c r="J26" i="44"/>
  <c r="J24" i="15"/>
  <c r="J20" i="44"/>
  <c r="S20" i="6"/>
  <c r="S27" i="6"/>
  <c r="I27" i="6"/>
  <c r="T13" i="1"/>
  <c r="T11" i="1"/>
  <c r="T6" i="1"/>
  <c r="T9" i="1"/>
  <c r="T12" i="1"/>
  <c r="T10" i="1"/>
  <c r="T8" i="1"/>
  <c r="T7" i="1"/>
  <c r="B3" i="11"/>
  <c r="B5" i="11"/>
  <c r="B4" i="11"/>
  <c r="C59" i="15"/>
  <c r="C65" i="15"/>
  <c r="C38" i="15"/>
  <c r="C32" i="15"/>
  <c r="Q67" i="44"/>
  <c r="Q49" i="44"/>
  <c r="Q55" i="44"/>
  <c r="Q58" i="44"/>
  <c r="L52" i="44"/>
  <c r="F41" i="15"/>
  <c r="C16" i="44"/>
  <c r="C14" i="15"/>
  <c r="L58" i="44"/>
  <c r="L61" i="44"/>
  <c r="Q69" i="4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5" i="46"/>
  <c r="V5" i="46"/>
  <c r="T6" i="46"/>
  <c r="V6" i="46"/>
  <c r="T4" i="46"/>
  <c r="V4" i="46"/>
  <c r="T2" i="46"/>
  <c r="V2" i="46"/>
  <c r="T7" i="46"/>
  <c r="V7" i="46"/>
  <c r="T3" i="46"/>
  <c r="V3" i="46"/>
  <c r="E54" i="34"/>
  <c r="F54" i="34"/>
  <c r="E53" i="34"/>
  <c r="F53" i="34"/>
  <c r="I54" i="34"/>
  <c r="J54" i="34"/>
  <c r="C7" i="66"/>
  <c r="C8" i="66"/>
  <c r="C6" i="66"/>
  <c r="C50" i="34"/>
  <c r="B3" i="34"/>
  <c r="B2" i="34"/>
  <c r="C49" i="34"/>
  <c r="C13" i="43"/>
  <c r="L16" i="1"/>
  <c r="N16" i="1"/>
  <c r="C29" i="43"/>
  <c r="K38" i="9"/>
  <c r="C14" i="66"/>
  <c r="B2" i="66"/>
  <c r="C22" i="4"/>
  <c r="D26" i="6"/>
  <c r="D11" i="6"/>
  <c r="H25" i="6"/>
  <c r="D5" i="6"/>
  <c r="E45" i="9"/>
  <c r="D19" i="6"/>
  <c r="D25" i="6"/>
  <c r="R25" i="6"/>
  <c r="D13" i="6"/>
  <c r="D6" i="6"/>
  <c r="D14" i="6"/>
  <c r="D20" i="6"/>
  <c r="R20" i="6"/>
  <c r="R7" i="1"/>
  <c r="E44" i="9"/>
  <c r="E46" i="9"/>
  <c r="F45" i="9"/>
  <c r="H26" i="6"/>
  <c r="R26" i="6"/>
  <c r="H22" i="6"/>
  <c r="E63" i="40"/>
  <c r="D24" i="6"/>
  <c r="D22" i="6"/>
  <c r="D12" i="6"/>
  <c r="D9" i="6"/>
  <c r="D29" i="6"/>
  <c r="H19" i="6"/>
  <c r="D21" i="6"/>
  <c r="D10" i="6"/>
  <c r="H24" i="6"/>
  <c r="D23" i="6"/>
  <c r="D28" i="6"/>
  <c r="D30" i="6"/>
  <c r="D8" i="6"/>
  <c r="F46" i="9"/>
  <c r="D15" i="6"/>
  <c r="F44" i="9"/>
  <c r="H23" i="6"/>
  <c r="H21" i="6"/>
  <c r="C39" i="35"/>
  <c r="B3" i="35"/>
  <c r="B2" i="35"/>
  <c r="C38" i="35"/>
  <c r="D19" i="12"/>
  <c r="C19" i="12"/>
  <c r="C16" i="12"/>
  <c r="D22" i="12"/>
  <c r="C22" i="12"/>
  <c r="C20" i="12"/>
  <c r="D13" i="11"/>
  <c r="C13" i="11"/>
  <c r="P14" i="1"/>
  <c r="P16" i="1"/>
  <c r="C13" i="12"/>
  <c r="O16" i="1"/>
  <c r="J67" i="40"/>
  <c r="K65" i="40"/>
  <c r="J72" i="39"/>
  <c r="K70" i="39"/>
  <c r="E43" i="35"/>
  <c r="F43" i="35"/>
  <c r="E42" i="35"/>
  <c r="F42" i="35"/>
  <c r="I43" i="35"/>
  <c r="J43" i="35"/>
  <c r="J29" i="15"/>
  <c r="F68" i="15"/>
  <c r="C49" i="21"/>
  <c r="B3" i="21"/>
  <c r="C48" i="21"/>
  <c r="I53" i="21"/>
  <c r="J53" i="21"/>
  <c r="E53" i="21"/>
  <c r="F53" i="21"/>
  <c r="E52" i="21"/>
  <c r="F52" i="21"/>
  <c r="C18" i="15"/>
  <c r="C15" i="15"/>
  <c r="C17" i="44"/>
  <c r="C20" i="44"/>
  <c r="T16" i="1"/>
  <c r="Q68" i="44"/>
  <c r="Q77" i="44"/>
  <c r="Q59" i="44"/>
  <c r="Q64" i="44"/>
  <c r="M21" i="15"/>
  <c r="F35" i="15"/>
  <c r="C34" i="15"/>
  <c r="F62" i="15"/>
  <c r="C61" i="15"/>
  <c r="J20" i="15"/>
  <c r="L70" i="39"/>
  <c r="K72" i="39"/>
  <c r="L65" i="40"/>
  <c r="K67" i="40"/>
  <c r="R21" i="6"/>
  <c r="R24" i="6"/>
  <c r="R22" i="6"/>
  <c r="R19" i="6"/>
  <c r="D27" i="6"/>
  <c r="D31" i="6"/>
  <c r="A6" i="51"/>
  <c r="B7" i="63"/>
  <c r="A20" i="51"/>
  <c r="B15" i="63"/>
  <c r="A6" i="64"/>
  <c r="A20" i="64"/>
  <c r="N5" i="54"/>
  <c r="B43" i="63"/>
  <c r="C17" i="43"/>
  <c r="C14" i="43"/>
  <c r="G36" i="46"/>
  <c r="I36" i="46"/>
  <c r="E36" i="46"/>
  <c r="E33" i="46"/>
  <c r="G33" i="46"/>
  <c r="I33" i="46"/>
  <c r="G37" i="46"/>
  <c r="I37" i="46"/>
  <c r="E37" i="46"/>
  <c r="C14" i="12"/>
  <c r="C17" i="12"/>
  <c r="D16" i="6"/>
  <c r="R23" i="6"/>
  <c r="H27" i="6"/>
  <c r="D6" i="66"/>
  <c r="D7" i="66"/>
  <c r="D8" i="66"/>
  <c r="E29" i="46"/>
  <c r="C30" i="46"/>
  <c r="E30" i="46"/>
  <c r="C27" i="46"/>
  <c r="G34" i="46"/>
  <c r="I34" i="46"/>
  <c r="E34" i="46"/>
  <c r="G38" i="46"/>
  <c r="I38" i="46"/>
  <c r="E38" i="46"/>
  <c r="G35" i="46"/>
  <c r="I35" i="46"/>
  <c r="E35" i="46"/>
  <c r="G39" i="46"/>
  <c r="I39" i="46"/>
  <c r="E39" i="46"/>
  <c r="B2" i="21"/>
  <c r="C8" i="12"/>
  <c r="C10" i="12"/>
  <c r="C19" i="15"/>
  <c r="C20" i="15"/>
  <c r="C23" i="15"/>
  <c r="C21" i="44"/>
  <c r="C22" i="44"/>
  <c r="C25" i="44"/>
  <c r="F7" i="67"/>
  <c r="C18" i="43"/>
  <c r="E4" i="67"/>
  <c r="C19" i="43"/>
  <c r="C25" i="43"/>
  <c r="C24" i="43"/>
  <c r="R6" i="1"/>
  <c r="R16" i="1"/>
  <c r="R27" i="6"/>
  <c r="C26" i="46"/>
  <c r="C18" i="12"/>
  <c r="C23" i="12"/>
  <c r="I5" i="6"/>
  <c r="I6" i="6"/>
  <c r="M65" i="40"/>
  <c r="L67" i="40"/>
  <c r="L72" i="39"/>
  <c r="M70" i="39"/>
  <c r="C26" i="15"/>
  <c r="C29" i="15"/>
  <c r="C28" i="44"/>
  <c r="C31" i="44"/>
  <c r="C35" i="44"/>
  <c r="C33" i="44"/>
  <c r="E7" i="67"/>
  <c r="C22" i="43"/>
  <c r="C21" i="43"/>
  <c r="C28" i="43"/>
  <c r="C30" i="43"/>
  <c r="C32" i="43"/>
  <c r="B2" i="43"/>
  <c r="B5" i="43"/>
  <c r="E3" i="67"/>
  <c r="N65" i="40"/>
  <c r="N67" i="40"/>
  <c r="M67" i="40"/>
  <c r="B2" i="46"/>
  <c r="N70" i="39"/>
  <c r="N72" i="39"/>
  <c r="M72" i="39"/>
  <c r="C15" i="44"/>
  <c r="Q72" i="44"/>
  <c r="J21" i="44"/>
  <c r="J19" i="44"/>
  <c r="C38" i="44"/>
  <c r="J16" i="44"/>
  <c r="J15" i="44"/>
  <c r="J25" i="44"/>
  <c r="C36" i="15"/>
  <c r="C33" i="15"/>
  <c r="C31" i="15"/>
  <c r="J14" i="15"/>
  <c r="Q50" i="15"/>
  <c r="C13" i="15"/>
  <c r="J19" i="15"/>
  <c r="J17" i="15"/>
  <c r="C56" i="15"/>
  <c r="J59" i="15"/>
  <c r="J60" i="15"/>
  <c r="Q49" i="15"/>
  <c r="Q51" i="44"/>
  <c r="L57" i="15"/>
  <c r="B7" i="67"/>
  <c r="B3" i="43"/>
  <c r="B4" i="43"/>
  <c r="J24" i="44"/>
  <c r="B2" i="67"/>
  <c r="B3" i="46"/>
  <c r="D4" i="46"/>
  <c r="B4" i="46"/>
  <c r="F9" i="40"/>
  <c r="J9" i="40"/>
  <c r="H9" i="40"/>
  <c r="H9" i="39"/>
  <c r="F9" i="39"/>
  <c r="J9" i="39"/>
  <c r="C39" i="44"/>
  <c r="C32" i="44"/>
  <c r="C42" i="44"/>
  <c r="Q71" i="44"/>
  <c r="Q70" i="44"/>
  <c r="C43" i="44"/>
  <c r="C60" i="15"/>
  <c r="C58" i="15"/>
  <c r="C63" i="15"/>
  <c r="J35" i="15"/>
  <c r="Q71" i="15"/>
  <c r="C37" i="15"/>
  <c r="C30" i="15"/>
  <c r="C39" i="15"/>
  <c r="C55" i="15"/>
  <c r="C64" i="15"/>
  <c r="J22" i="15"/>
  <c r="J13" i="15"/>
  <c r="J23" i="15"/>
  <c r="J18" i="44"/>
  <c r="J27" i="44"/>
  <c r="L51" i="15"/>
  <c r="AC9" i="39"/>
  <c r="V49" i="39"/>
  <c r="I49" i="39"/>
  <c r="I53" i="39"/>
  <c r="J53" i="39"/>
  <c r="W9" i="39"/>
  <c r="U9" i="39"/>
  <c r="AB9" i="39"/>
  <c r="T49" i="39"/>
  <c r="G49" i="39"/>
  <c r="AC9" i="40"/>
  <c r="V44" i="40"/>
  <c r="I44" i="40"/>
  <c r="W9" i="40"/>
  <c r="AA9" i="39"/>
  <c r="R49" i="39"/>
  <c r="S9" i="39"/>
  <c r="AB9" i="40"/>
  <c r="T44" i="40"/>
  <c r="G44" i="40"/>
  <c r="U9" i="40"/>
  <c r="AA9" i="40"/>
  <c r="R44" i="40"/>
  <c r="S9" i="40"/>
  <c r="B3" i="67"/>
  <c r="B4" i="67"/>
  <c r="C44" i="44"/>
  <c r="C45" i="44"/>
  <c r="B2" i="44"/>
  <c r="B4" i="44"/>
  <c r="J16" i="15"/>
  <c r="J25" i="15"/>
  <c r="C57" i="15"/>
  <c r="C66" i="15"/>
  <c r="C67" i="15"/>
  <c r="Q68" i="15"/>
  <c r="Q70" i="15"/>
  <c r="Q69" i="15"/>
  <c r="C40" i="15"/>
  <c r="J39" i="15"/>
  <c r="J40" i="15"/>
  <c r="R45" i="40"/>
  <c r="E44" i="40"/>
  <c r="E49" i="39"/>
  <c r="R50" i="39"/>
  <c r="G53" i="39"/>
  <c r="H53" i="39"/>
  <c r="G54" i="39"/>
  <c r="H54" i="39"/>
  <c r="G49" i="40"/>
  <c r="H49" i="40"/>
  <c r="G48" i="40"/>
  <c r="H48" i="40"/>
  <c r="I48" i="40"/>
  <c r="J48" i="40"/>
  <c r="I49" i="40"/>
  <c r="J49" i="40"/>
  <c r="B3" i="44"/>
  <c r="B5" i="44"/>
  <c r="C46" i="15"/>
  <c r="C70" i="15"/>
  <c r="B2" i="15"/>
  <c r="B3" i="15"/>
  <c r="D8" i="12"/>
  <c r="D10" i="12"/>
  <c r="C6" i="12"/>
  <c r="Q57" i="15"/>
  <c r="Q63" i="15"/>
  <c r="C43" i="15"/>
  <c r="Q48" i="15"/>
  <c r="Q54" i="15"/>
  <c r="Q66" i="15"/>
  <c r="Q76" i="15"/>
  <c r="J42" i="15"/>
  <c r="J43" i="15"/>
  <c r="C49" i="39"/>
  <c r="C50" i="39"/>
  <c r="E48" i="40"/>
  <c r="F48" i="40"/>
  <c r="E49" i="40"/>
  <c r="F49" i="40"/>
  <c r="I54" i="39"/>
  <c r="J54" i="39"/>
  <c r="E54" i="39"/>
  <c r="F54" i="39"/>
  <c r="E53" i="39"/>
  <c r="F53" i="39"/>
  <c r="C45" i="40"/>
  <c r="C44" i="40"/>
  <c r="C29" i="12"/>
  <c r="C24" i="12"/>
  <c r="B57" i="40"/>
  <c r="F57" i="40"/>
  <c r="B59" i="40"/>
  <c r="F59" i="40"/>
  <c r="B61" i="40"/>
  <c r="F61" i="40"/>
  <c r="B53" i="40"/>
  <c r="F53" i="40"/>
  <c r="B58" i="40"/>
  <c r="F58" i="40"/>
  <c r="B55" i="40"/>
  <c r="F55" i="40"/>
  <c r="B60" i="40"/>
  <c r="F60" i="40"/>
  <c r="B62" i="40"/>
  <c r="F62" i="40"/>
  <c r="B54" i="40"/>
  <c r="F54" i="40"/>
  <c r="B56" i="40"/>
  <c r="F56" i="40"/>
  <c r="F63" i="40"/>
  <c r="B2" i="40"/>
  <c r="B65" i="39"/>
  <c r="F65" i="39"/>
  <c r="B62" i="39"/>
  <c r="F62" i="39"/>
  <c r="B66" i="39"/>
  <c r="F66" i="39"/>
  <c r="B59" i="39"/>
  <c r="F59" i="39"/>
  <c r="B60" i="39"/>
  <c r="F60" i="39"/>
  <c r="B64" i="39"/>
  <c r="F64" i="39"/>
  <c r="B58" i="39"/>
  <c r="F58" i="39"/>
  <c r="B67" i="39"/>
  <c r="F67" i="39"/>
  <c r="B61" i="39"/>
  <c r="F61" i="39"/>
  <c r="B63" i="39"/>
  <c r="F63" i="39"/>
  <c r="C35" i="12"/>
  <c r="C33" i="12"/>
  <c r="C28" i="12"/>
  <c r="C26" i="12"/>
  <c r="C31" i="12"/>
  <c r="C30" i="12"/>
  <c r="F68" i="39"/>
  <c r="B2" i="39"/>
  <c r="B3" i="40"/>
  <c r="B4" i="40"/>
  <c r="B5" i="40"/>
  <c r="C36" i="12"/>
  <c r="B2" i="12"/>
  <c r="B4" i="12"/>
  <c r="D19" i="9"/>
  <c r="C19" i="9"/>
  <c r="D21" i="9"/>
  <c r="L43" i="9"/>
  <c r="B3" i="39"/>
  <c r="B5" i="39"/>
  <c r="B4" i="39"/>
  <c r="B3" i="12"/>
  <c r="B5" i="12"/>
  <c r="G19" i="9"/>
  <c r="C32" i="9"/>
  <c r="L44" i="9"/>
  <c r="D22" i="9"/>
  <c r="C20" i="9"/>
  <c r="C21" i="9"/>
  <c r="D20" i="9"/>
  <c r="N43" i="9"/>
  <c r="G21" i="9"/>
  <c r="G22" i="9"/>
  <c r="G20" i="9"/>
  <c r="O38" i="9"/>
  <c r="O43" i="9"/>
  <c r="C33" i="9"/>
  <c r="C34" i="9"/>
  <c r="C42" i="9"/>
  <c r="C35" i="9"/>
  <c r="F42" i="9"/>
  <c r="E42" i="9"/>
  <c r="P5" i="54"/>
  <c r="B46" i="63"/>
  <c r="M38" i="9"/>
  <c r="K27" i="9"/>
  <c r="R5" i="54"/>
  <c r="B48" i="63"/>
  <c r="N68" i="9"/>
  <c r="D14" i="66"/>
  <c r="D63" i="9"/>
  <c r="D42" i="9"/>
  <c r="Q5" i="54"/>
  <c r="B47" i="63"/>
  <c r="N38" i="9"/>
  <c r="K28" i="9"/>
  <c r="K26" i="9"/>
  <c r="K25" i="9"/>
  <c r="C96" i="9"/>
  <c r="C91" i="9"/>
  <c r="C90" i="9"/>
  <c r="D71" i="9"/>
  <c r="D66" i="9"/>
  <c r="N72" i="9"/>
  <c r="D70" i="9"/>
  <c r="C103" i="9"/>
  <c r="C111" i="9"/>
  <c r="C104" i="9"/>
  <c r="D77" i="9"/>
  <c r="N75" i="9"/>
  <c r="C82" i="9"/>
  <c r="C81" i="9"/>
  <c r="C85" i="9"/>
  <c r="C86" i="9"/>
  <c r="D72" i="9"/>
  <c r="E14" i="66"/>
  <c r="F14" i="66"/>
  <c r="C113" i="9"/>
  <c r="C97" i="9"/>
  <c r="C114" i="9"/>
  <c r="E114" i="9"/>
  <c r="E115" i="9"/>
  <c r="C98" i="9"/>
  <c r="E98" i="9"/>
  <c r="E99" i="9"/>
  <c r="C115" i="9"/>
  <c r="D76" i="9"/>
  <c r="D74" i="9"/>
  <c r="N74" i="9"/>
  <c r="O77" i="9"/>
  <c r="C99" i="9"/>
  <c r="O78" i="9"/>
  <c r="Q77" i="9"/>
  <c r="O79" i="9"/>
  <c r="O80" i="9"/>
  <c r="O81" i="9"/>
  <c r="E15" i="66"/>
  <c r="F15" i="66"/>
  <c r="E19" i="66"/>
  <c r="F19"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<sst xmlns="http://schemas.openxmlformats.org/spreadsheetml/2006/main" count="7326" uniqueCount="3177">
  <si>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</si>
  <si>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</si>
  <si>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</si>
  <si>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</si>
  <si>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</si>
  <si>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</si>
  <si>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</si>
  <si>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</si>
  <si>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</si>
  <si>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</si>
  <si>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</si>
  <si>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</si>
  <si>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</si>
  <si>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</si>
  <si>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</si>
  <si>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</si>
  <si>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</si>
  <si>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</si>
  <si>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</si>
  <si>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</si>
  <si>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</si>
  <si>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</si>
  <si>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</si>
  <si>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</si>
  <si>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</si>
  <si>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</si>
  <si>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</si>
  <si>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</si>
  <si>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</si>
  <si>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</si>
  <si>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</si>
  <si>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</si>
  <si>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</si>
  <si>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</si>
  <si>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</si>
  <si>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</si>
  <si>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</si>
  <si>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</si>
  <si>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</si>
  <si>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</si>
  <si>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</si>
  <si>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</si>
  <si>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</si>
  <si>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</si>
  <si>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</si>
  <si>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</si>
  <si>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</si>
  <si>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</si>
  <si>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</si>
  <si>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</si>
  <si>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</si>
  <si>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</si>
  <si>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</si>
  <si>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</si>
  <si>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</si>
  <si>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</si>
  <si>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</si>
  <si>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</si>
  <si>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</si>
  <si>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</si>
  <si>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</si>
  <si>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</si>
  <si>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</si>
  <si>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</si>
  <si>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</si>
  <si>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</si>
  <si>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</si>
  <si>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</si>
  <si>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</si>
  <si>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</si>
  <si>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</si>
  <si>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</si>
  <si>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</si>
  <si>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</si>
  <si>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</si>
  <si>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</si>
  <si>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</si>
  <si>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</si>
  <si>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</si>
  <si>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</si>
  <si>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</si>
  <si>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</si>
  <si>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</si>
  <si>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</si>
  <si>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</si>
  <si>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</si>
  <si>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</si>
  <si>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</si>
  <si>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</si>
  <si>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</si>
  <si>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</si>
  <si>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</si>
  <si>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</si>
  <si>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</si>
  <si>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</si>
  <si>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</si>
  <si>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</si>
  <si>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</si>
  <si>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</si>
  <si>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</si>
  <si>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</si>
  <si>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</si>
  <si>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</si>
  <si>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</si>
  <si>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</si>
  <si>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</si>
  <si>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</si>
  <si>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</si>
  <si>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</si>
  <si>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</si>
  <si>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</si>
  <si>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</si>
  <si>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</si>
  <si>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</si>
  <si>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</si>
  <si>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</si>
  <si>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</si>
  <si>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</si>
  <si>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</si>
  <si>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</si>
  <si>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</si>
  <si>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</si>
  <si>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</si>
  <si>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</si>
  <si>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</si>
  <si>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</si>
  <si>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</si>
  <si>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</si>
  <si>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</si>
  <si>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</si>
  <si>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</si>
  <si>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</si>
  <si>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</si>
  <si>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</si>
  <si>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</si>
  <si>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</si>
  <si>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</si>
  <si>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</si>
  <si>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</si>
  <si>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</si>
  <si>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</si>
  <si>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</si>
  <si>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</si>
  <si>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</si>
  <si>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</si>
  <si>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</si>
  <si>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</si>
  <si>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</si>
  <si>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</si>
  <si>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</si>
  <si>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</si>
  <si>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</si>
  <si>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</si>
  <si>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</si>
  <si>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</si>
  <si>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</si>
  <si>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</si>
  <si>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</si>
  <si>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</si>
  <si>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</si>
  <si>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</si>
  <si>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</si>
  <si>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</si>
  <si>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</si>
  <si>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</si>
  <si>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</si>
  <si>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</si>
  <si>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</si>
  <si>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</si>
  <si>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</si>
  <si>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</si>
  <si>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</si>
  <si>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</si>
  <si>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</si>
  <si>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</si>
  <si>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</si>
  <si>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</si>
  <si>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</si>
  <si>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</si>
  <si>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</si>
  <si>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</si>
  <si>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</si>
  <si>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</si>
  <si>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</si>
  <si>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</si>
  <si>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</si>
  <si>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</si>
  <si>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</si>
  <si>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</si>
  <si>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</si>
  <si>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</si>
  <si>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</si>
  <si>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</si>
  <si>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</si>
  <si>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</si>
  <si>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</si>
  <si>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</si>
  <si>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</si>
  <si>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</si>
  <si>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</si>
  <si>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</si>
  <si>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</si>
  <si>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</si>
  <si>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</si>
  <si>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</si>
  <si>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</si>
  <si>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</si>
  <si>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</si>
  <si>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</si>
  <si>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</si>
  <si>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</si>
  <si>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</si>
  <si>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</si>
  <si>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</si>
  <si>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</si>
  <si>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</si>
  <si>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</si>
  <si>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</si>
  <si>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</si>
  <si>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</si>
  <si>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</si>
  <si>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</si>
  <si>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</si>
  <si>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</si>
  <si>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</si>
  <si>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</si>
  <si>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</si>
  <si>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</si>
  <si>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</si>
  <si>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</si>
  <si>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</si>
  <si>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</si>
  <si>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</si>
  <si>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</si>
  <si>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</si>
  <si>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</si>
  <si>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</si>
  <si>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</si>
  <si>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</si>
  <si>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</si>
  <si>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</si>
  <si>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</si>
  <si>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</si>
  <si>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</si>
  <si>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</si>
  <si>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</si>
  <si>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</si>
  <si>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</si>
  <si>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</si>
  <si>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</si>
  <si>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</si>
  <si>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</si>
  <si>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</si>
  <si>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</si>
  <si>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</si>
  <si>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</si>
  <si>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</si>
  <si>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</si>
  <si>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</si>
  <si>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</si>
  <si>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</si>
  <si>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</si>
  <si>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</si>
  <si>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</si>
  <si>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</si>
  <si>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</si>
  <si>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</si>
  <si>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</si>
  <si>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</si>
  <si>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</si>
  <si>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</si>
  <si>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</si>
  <si>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</si>
  <si>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</si>
  <si>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</si>
  <si>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</si>
  <si>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</si>
  <si>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</si>
  <si>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</si>
  <si>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</si>
  <si>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</si>
  <si>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</si>
  <si>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</si>
  <si>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</si>
  <si>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</si>
  <si>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</si>
  <si>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</si>
  <si>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</si>
  <si>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</si>
  <si>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</si>
  <si>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</si>
  <si>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</si>
  <si>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</si>
  <si>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</si>
  <si>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</si>
  <si>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</si>
  <si>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</si>
  <si>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</si>
  <si>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</si>
  <si>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</si>
  <si>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</si>
  <si>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</si>
  <si>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</si>
  <si>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</si>
  <si>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</si>
  <si>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</si>
  <si>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</si>
  <si>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</si>
  <si>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</si>
  <si>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</si>
  <si>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</si>
  <si>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</si>
  <si>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</si>
  <si>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</si>
  <si>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</si>
  <si>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</si>
  <si>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</si>
  <si>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</si>
  <si>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</si>
  <si>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</si>
  <si>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</si>
  <si>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</si>
  <si>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</si>
  <si>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</si>
  <si>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</si>
  <si>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</si>
  <si>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</si>
  <si>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</si>
  <si>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</si>
  <si>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</si>
  <si>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</si>
  <si>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</si>
  <si>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</si>
  <si>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</si>
  <si>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</si>
  <si>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</si>
  <si>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</si>
  <si>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</si>
  <si>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</si>
  <si>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</si>
  <si>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</si>
  <si>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</si>
  <si>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</si>
  <si>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</si>
  <si>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</si>
  <si>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</si>
  <si>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</si>
  <si>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</si>
  <si>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</si>
  <si>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</si>
  <si>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</si>
  <si>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</si>
  <si>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</si>
  <si>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</si>
  <si>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</si>
  <si>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</si>
  <si>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</si>
  <si>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</si>
  <si>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</si>
  <si>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</si>
  <si>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</si>
  <si>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</si>
  <si>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</si>
  <si>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</si>
  <si>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</si>
  <si>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</si>
  <si>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</si>
  <si>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</si>
  <si>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</si>
  <si>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</si>
  <si>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</si>
  <si>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</si>
  <si>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</si>
  <si>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</si>
  <si>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</si>
  <si>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</si>
  <si>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</si>
  <si>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</si>
  <si>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</si>
  <si>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</si>
  <si>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</si>
  <si>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</si>
  <si>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</si>
  <si>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</si>
  <si>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</si>
  <si>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</si>
  <si>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</si>
  <si>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</si>
  <si>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</si>
  <si>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</si>
  <si>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</si>
  <si>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</si>
  <si>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</si>
  <si>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</si>
  <si>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</si>
  <si>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</si>
  <si>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</si>
  <si>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</si>
  <si>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</si>
  <si>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</si>
  <si>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</si>
  <si>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</si>
  <si>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</si>
  <si>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</si>
  <si>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</si>
  <si>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</si>
  <si>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</si>
  <si>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</si>
  <si>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</si>
  <si>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</si>
  <si>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</si>
  <si>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</si>
  <si>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</si>
  <si>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</si>
  <si>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</si>
  <si>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</si>
  <si>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</si>
  <si>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</si>
  <si>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</si>
  <si>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</si>
  <si>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</si>
  <si>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</si>
  <si>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</si>
  <si>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</si>
  <si>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</si>
  <si>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</si>
  <si>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</si>
  <si>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</si>
  <si>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</si>
  <si>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</si>
  <si>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</si>
  <si>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</si>
  <si>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</si>
  <si>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</si>
  <si>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</si>
  <si>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</si>
  <si>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</si>
  <si>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</si>
  <si>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</si>
  <si>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</si>
  <si>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</si>
  <si>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</si>
  <si>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</si>
  <si>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</si>
  <si>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</si>
  <si>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</si>
  <si>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</si>
  <si>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</si>
  <si>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</si>
  <si>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</si>
  <si>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</si>
  <si>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</si>
  <si>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</si>
  <si>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</si>
  <si>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</si>
  <si>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</si>
  <si>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</si>
  <si>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</si>
  <si>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</si>
  <si>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</si>
  <si>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</si>
  <si>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</si>
  <si>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</si>
  <si>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</si>
  <si>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</si>
  <si>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</si>
  <si>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</si>
  <si>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</si>
  <si>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</si>
  <si>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</si>
  <si>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</si>
  <si>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</si>
  <si>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</si>
  <si>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</si>
  <si>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</si>
  <si>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</si>
  <si>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</si>
  <si>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</si>
  <si>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</si>
  <si>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</si>
  <si>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</si>
  <si>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</si>
  <si>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</si>
  <si>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</si>
  <si>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</si>
  <si>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</si>
  <si>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</si>
  <si>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</si>
  <si>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</si>
  <si>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</si>
  <si>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</si>
  <si>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</si>
  <si>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</si>
  <si>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</si>
  <si>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</si>
  <si>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</si>
  <si>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</si>
  <si>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</si>
  <si>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</si>
  <si>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</si>
  <si>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</si>
  <si>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</si>
  <si>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</si>
  <si>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</si>
  <si>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</si>
  <si>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</si>
  <si>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</si>
  <si>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</si>
  <si>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</si>
  <si>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</si>
  <si>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</si>
  <si>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</si>
  <si>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</si>
  <si>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</si>
  <si>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</si>
  <si>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</si>
  <si>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</si>
  <si>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</si>
  <si>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</si>
  <si>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</si>
  <si>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</si>
  <si>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</si>
  <si>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</si>
  <si>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</si>
  <si>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</si>
  <si>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</si>
  <si>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</si>
  <si>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</si>
  <si>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</si>
  <si>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</si>
  <si>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</si>
  <si>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</si>
  <si>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</si>
  <si>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</si>
  <si>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</si>
  <si>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</si>
  <si>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</si>
  <si>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</si>
  <si>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</si>
  <si>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</si>
  <si>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</si>
  <si>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</si>
  <si>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</si>
  <si>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</si>
  <si>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</si>
  <si>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</si>
  <si>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</si>
  <si>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</si>
  <si>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</si>
  <si>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</si>
  <si>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</si>
  <si>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</si>
  <si>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</si>
  <si>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</si>
  <si>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</si>
  <si>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</si>
  <si>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</si>
  <si>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</si>
  <si>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</si>
  <si>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</si>
  <si>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</si>
  <si>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</si>
  <si>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</si>
  <si>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</si>
  <si>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</si>
  <si>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</si>
  <si>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</si>
  <si>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</si>
  <si>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</si>
  <si>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</si>
  <si>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</si>
  <si>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</si>
  <si>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</si>
  <si>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</si>
  <si>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</si>
  <si>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</si>
  <si>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</si>
  <si>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</si>
  <si>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</si>
  <si>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</si>
  <si>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</si>
  <si>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</si>
  <si>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</si>
  <si>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</si>
  <si>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</si>
  <si>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</si>
  <si>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</si>
  <si>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</si>
  <si>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</si>
  <si>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</si>
  <si>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</si>
  <si>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</si>
  <si>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</si>
  <si>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</si>
  <si>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</si>
  <si>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</si>
  <si>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</si>
  <si>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</si>
  <si>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</si>
  <si>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</si>
  <si>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</si>
  <si>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</si>
  <si>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</si>
  <si>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</si>
  <si>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</si>
  <si>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</si>
  <si>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</si>
  <si>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</si>
  <si>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</si>
  <si>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</si>
  <si>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</si>
  <si>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</si>
  <si>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</si>
  <si>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</si>
  <si>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</si>
  <si>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</si>
  <si>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</si>
  <si>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</si>
  <si>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</si>
  <si>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</si>
  <si>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</si>
  <si>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</si>
  <si>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</si>
  <si>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</si>
  <si>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</si>
  <si>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</si>
  <si>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</si>
  <si>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</si>
  <si>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</si>
  <si>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</si>
  <si>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</si>
  <si>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</si>
  <si>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</si>
  <si>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</si>
  <si>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</si>
  <si>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</si>
  <si>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</si>
  <si>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</si>
  <si>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</si>
  <si>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</si>
  <si>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</si>
  <si>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</si>
  <si>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</si>
  <si>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</si>
  <si>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</si>
  <si>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</si>
  <si>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</si>
  <si>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</si>
  <si>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</si>
  <si>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</si>
  <si>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</si>
  <si>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</si>
  <si>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</si>
  <si>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</si>
  <si>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</si>
  <si>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</si>
  <si>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</si>
  <si>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</si>
  <si>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</si>
  <si>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</si>
  <si>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</si>
  <si>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</si>
  <si>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</si>
  <si>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</si>
  <si>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</si>
  <si>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</si>
  <si>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</si>
  <si>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</si>
  <si>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</si>
  <si>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</si>
  <si>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</si>
  <si>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</si>
  <si>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</si>
  <si>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</si>
  <si>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</si>
  <si>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</si>
  <si>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</si>
  <si>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</si>
  <si>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</si>
  <si>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</si>
  <si>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</si>
  <si>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</si>
  <si>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</si>
  <si>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</si>
  <si>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</si>
  <si>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</si>
  <si>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</si>
  <si>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</si>
  <si>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</si>
  <si>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</si>
  <si>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</si>
  <si>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</si>
  <si>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</si>
  <si>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</si>
  <si>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</si>
  <si>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</si>
  <si>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</si>
  <si>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</si>
  <si>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</si>
  <si>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</si>
  <si>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</si>
  <si>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</si>
  <si>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</si>
  <si>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</si>
  <si>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</si>
  <si>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</si>
  <si>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</si>
  <si>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</si>
  <si>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</si>
  <si>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</si>
  <si>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</si>
  <si>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</si>
  <si>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</si>
  <si>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</si>
  <si>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</si>
  <si>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</si>
  <si>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</si>
  <si>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</si>
  <si>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</si>
  <si>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</si>
  <si>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</si>
  <si>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</si>
  <si>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</si>
  <si>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</si>
  <si>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</si>
  <si>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</si>
  <si>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</si>
  <si>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</si>
  <si>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</si>
  <si>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</si>
  <si>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</si>
  <si>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</si>
  <si>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</si>
  <si>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</si>
  <si>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</si>
  <si>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</si>
  <si>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</si>
  <si>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</si>
  <si>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</si>
  <si>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</si>
  <si>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</si>
  <si>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</si>
  <si>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</si>
  <si>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</si>
  <si>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</si>
  <si>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</si>
  <si>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</si>
  <si>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</si>
  <si>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</si>
  <si>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</si>
  <si>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</si>
  <si>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</si>
  <si>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</si>
  <si>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</si>
  <si>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</si>
  <si>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</si>
  <si>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</si>
  <si>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</si>
  <si>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</si>
  <si>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</si>
  <si>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</si>
  <si>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</si>
  <si>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</si>
  <si>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</si>
  <si>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</si>
  <si>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</si>
  <si>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</si>
  <si>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</si>
  <si>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</si>
  <si>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</si>
  <si>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</si>
  <si>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</si>
  <si>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</si>
  <si>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</si>
  <si>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</si>
  <si>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</si>
  <si>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</si>
  <si>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</si>
  <si>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</si>
  <si>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</si>
  <si>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</si>
  <si>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</si>
  <si>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</si>
  <si>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</si>
  <si>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</si>
  <si>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</si>
  <si>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</si>
  <si>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</si>
  <si>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</si>
  <si>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</si>
  <si>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</si>
  <si>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</si>
  <si>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</si>
  <si>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</si>
  <si>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</si>
  <si>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</si>
  <si>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</si>
  <si>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</si>
  <si>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</si>
  <si>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</si>
  <si>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</si>
  <si>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</si>
  <si>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</si>
  <si>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</si>
  <si>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</si>
  <si>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</si>
  <si>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</si>
  <si>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</si>
  <si>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</si>
  <si>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</si>
  <si>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</si>
  <si>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</si>
  <si>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</si>
  <si>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</si>
  <si>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</si>
  <si>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</si>
  <si>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</si>
  <si>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</si>
  <si>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</si>
  <si>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</si>
  <si>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</si>
  <si>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</si>
  <si>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</si>
  <si>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</si>
  <si>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</si>
  <si>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</si>
  <si>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</si>
  <si>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</si>
  <si>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</si>
  <si>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</si>
  <si>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</si>
  <si>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</si>
  <si>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</si>
  <si>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</si>
  <si>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</si>
  <si>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</si>
  <si>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</si>
  <si>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</si>
  <si>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</si>
  <si>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</si>
  <si>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</si>
  <si>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</si>
  <si>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</si>
  <si>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</si>
  <si>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</si>
  <si>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</si>
  <si>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</si>
  <si>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</si>
  <si>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</si>
  <si>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</si>
  <si>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</si>
  <si>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</si>
  <si>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</si>
  <si>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</si>
  <si>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</si>
  <si>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</si>
  <si>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</si>
  <si>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</si>
  <si>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</si>
  <si>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</si>
  <si>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</si>
  <si>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</si>
  <si>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</si>
  <si>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</si>
  <si>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</si>
  <si>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</si>
  <si>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</si>
  <si>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</si>
  <si>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</si>
  <si>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</si>
  <si>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</si>
  <si>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</si>
  <si>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</si>
  <si>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</si>
  <si>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</si>
  <si>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</si>
  <si>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</si>
  <si>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</si>
  <si>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</si>
  <si>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</si>
  <si>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</si>
  <si>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</si>
  <si>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</si>
  <si>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</si>
  <si>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</si>
  <si>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</si>
  <si>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</si>
  <si>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</si>
  <si>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</si>
  <si>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</si>
  <si>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</si>
  <si>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</si>
  <si>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</si>
  <si>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</si>
  <si>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</si>
  <si>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</si>
  <si>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</si>
  <si>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</si>
  <si>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</si>
  <si>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</si>
  <si>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</si>
  <si>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</si>
  <si>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</si>
  <si>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</si>
  <si>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</si>
  <si>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</si>
  <si>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</si>
  <si>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</si>
  <si>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</si>
  <si>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</si>
  <si>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</si>
  <si>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</si>
  <si>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</si>
  <si>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</si>
  <si>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</si>
  <si>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</si>
  <si>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</si>
  <si>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</si>
  <si>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</si>
  <si>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</si>
  <si>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</si>
  <si>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</si>
  <si>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</si>
  <si>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</si>
  <si>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</si>
  <si>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</si>
  <si>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</si>
  <si>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</si>
  <si>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</si>
  <si>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</si>
  <si>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</si>
  <si>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</si>
  <si>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</si>
  <si>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</si>
  <si>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</si>
  <si>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</si>
  <si>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</si>
  <si>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</si>
  <si>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</si>
  <si>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</si>
  <si>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</si>
  <si>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</si>
  <si>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</si>
  <si>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</si>
  <si>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</si>
  <si>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</si>
  <si>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</si>
  <si>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</si>
  <si>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</si>
  <si>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</si>
  <si>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</si>
  <si>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</si>
  <si>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</si>
  <si>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</si>
  <si>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</si>
  <si>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</si>
  <si>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</si>
  <si>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</si>
  <si>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</si>
  <si>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</si>
  <si>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</si>
  <si>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</si>
  <si>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</si>
  <si>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</si>
  <si>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</si>
  <si>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</si>
  <si>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</si>
  <si>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</si>
  <si>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</si>
  <si>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</si>
  <si>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</si>
  <si>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</si>
  <si>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</si>
  <si>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</si>
  <si>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</si>
  <si>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</si>
  <si>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</si>
  <si>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</si>
  <si>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</si>
  <si>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</si>
  <si>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</si>
  <si>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</si>
  <si>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</si>
  <si>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</si>
  <si>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</si>
  <si>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</si>
  <si>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</si>
  <si>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</si>
  <si>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</si>
  <si>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</si>
  <si>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</si>
  <si>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</si>
  <si>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</si>
  <si>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</si>
  <si>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</si>
  <si>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</si>
  <si>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</si>
  <si>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</si>
  <si>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</si>
  <si>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</si>
  <si>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</si>
  <si>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</si>
  <si>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</si>
  <si>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</si>
  <si>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</si>
  <si>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</si>
  <si>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</si>
  <si>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</si>
  <si>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</si>
  <si>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</si>
  <si>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</si>
  <si>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</si>
  <si>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</si>
  <si>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</si>
  <si>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</si>
  <si>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</si>
  <si>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</si>
  <si>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</si>
  <si>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</si>
  <si>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</si>
  <si>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</si>
  <si>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</si>
  <si>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</si>
  <si>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</si>
  <si>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</si>
  <si>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</si>
  <si>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</si>
  <si>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</si>
  <si>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</si>
  <si>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</si>
  <si>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</si>
  <si>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</si>
  <si>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</si>
  <si>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</si>
  <si>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</si>
  <si>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</si>
  <si>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</si>
  <si>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</si>
  <si>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</si>
  <si>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</si>
  <si>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</si>
  <si>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</si>
  <si>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</si>
  <si>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</si>
  <si>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</si>
  <si>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</si>
  <si>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</si>
  <si>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</si>
  <si>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</si>
  <si>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</si>
  <si>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</si>
  <si>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</si>
  <si>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</si>
  <si>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</si>
  <si>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</si>
  <si>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</si>
  <si>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</si>
  <si>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</si>
  <si>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</si>
  <si>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</si>
  <si>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</si>
  <si>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</si>
  <si>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</si>
  <si>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</si>
  <si>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</si>
  <si>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</si>
  <si>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</si>
  <si>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</si>
  <si>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</si>
  <si>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</si>
  <si>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</si>
  <si>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</si>
  <si>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</si>
  <si>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</si>
  <si>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</si>
  <si>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</si>
  <si>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</si>
  <si>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</si>
  <si>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</si>
  <si>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</si>
  <si>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</si>
  <si>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</si>
  <si>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</si>
  <si>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</si>
  <si>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</si>
  <si>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</si>
  <si>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</si>
  <si>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</si>
  <si>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</si>
  <si>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</si>
  <si>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</si>
  <si>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</si>
  <si>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</si>
  <si>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</si>
  <si>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</si>
  <si>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</si>
  <si>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</si>
  <si>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</si>
  <si>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</si>
  <si>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</si>
  <si>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</si>
  <si>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</si>
  <si>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</si>
  <si>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</si>
  <si>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</si>
  <si>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</si>
  <si>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</si>
  <si>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</si>
  <si>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</si>
  <si>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</si>
  <si>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</si>
  <si>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</si>
  <si>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</si>
  <si>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</si>
  <si>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</si>
  <si>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</si>
  <si>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</si>
  <si>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</si>
  <si>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</si>
  <si>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</si>
  <si>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</si>
  <si>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</si>
  <si>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</si>
  <si>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</si>
  <si>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</si>
  <si>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</si>
  <si>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</si>
  <si>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</si>
  <si>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</si>
  <si>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</si>
  <si>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</si>
  <si>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</si>
  <si>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</si>
  <si>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</si>
  <si>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</si>
  <si>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</si>
  <si>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</si>
  <si>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</si>
  <si>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</si>
  <si>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</si>
  <si>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</si>
  <si>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</si>
  <si>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</si>
  <si>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</si>
  <si>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</si>
  <si>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</si>
  <si>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</si>
  <si>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</si>
  <si>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</si>
  <si>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</si>
  <si>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</si>
  <si>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</si>
  <si>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</si>
  <si>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</si>
  <si>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</si>
  <si>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</si>
  <si>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</si>
  <si>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</si>
  <si>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</si>
  <si>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</si>
  <si>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</si>
  <si>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</si>
  <si>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</si>
  <si>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</si>
  <si>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</si>
  <si>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</si>
  <si>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</si>
  <si>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</si>
  <si>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</si>
  <si>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</si>
  <si>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</si>
  <si>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</si>
  <si>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</si>
  <si>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</si>
  <si>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</si>
  <si>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</si>
  <si>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</si>
  <si>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</si>
  <si>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</si>
  <si>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</si>
  <si>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</si>
  <si>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</si>
  <si>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</si>
  <si>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</si>
  <si>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</si>
  <si>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</si>
  <si>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</si>
  <si>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</si>
  <si>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</si>
  <si>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</si>
  <si>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</si>
  <si>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</si>
  <si>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</si>
  <si>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</si>
  <si>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</si>
  <si>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</si>
  <si>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</si>
  <si>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</si>
  <si>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</si>
  <si>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</si>
  <si>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</si>
  <si>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</si>
  <si>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</si>
  <si>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</si>
  <si>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</si>
  <si>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</si>
  <si>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</si>
  <si>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</si>
  <si>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</si>
  <si>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</si>
  <si>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</si>
  <si>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</si>
  <si>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</si>
  <si>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</si>
  <si>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</si>
  <si>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</si>
  <si>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</si>
  <si>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</si>
  <si>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</si>
  <si>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</si>
  <si>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</si>
  <si>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</si>
  <si>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</si>
  <si>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</si>
  <si>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</si>
  <si>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</si>
  <si>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</si>
  <si>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</si>
  <si>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</si>
  <si>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</si>
  <si>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</si>
  <si>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</si>
  <si>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</si>
  <si>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</si>
  <si>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</si>
  <si>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</si>
  <si>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</si>
  <si>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</si>
  <si>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</si>
  <si>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</si>
  <si>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</si>
  <si>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</si>
  <si>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</si>
  <si>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</si>
  <si>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</si>
  <si>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</si>
  <si>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</si>
  <si>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</si>
  <si>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</si>
  <si>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</si>
  <si>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</si>
  <si>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</si>
  <si>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</si>
  <si>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</si>
  <si>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</si>
  <si>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</si>
  <si>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</si>
  <si>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</si>
  <si>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</si>
  <si>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</si>
  <si>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</si>
  <si>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</si>
  <si>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</si>
  <si>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</si>
  <si>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</si>
  <si>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</si>
  <si>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</si>
  <si>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</si>
  <si>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</si>
  <si>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</si>
  <si>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</si>
  <si>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</si>
  <si>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</si>
  <si>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</si>
  <si>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</si>
  <si>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</si>
  <si>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</si>
  <si>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</si>
  <si>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</si>
  <si>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</si>
  <si>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</si>
  <si>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</si>
  <si>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</si>
  <si>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</si>
  <si>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</si>
  <si>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</si>
  <si>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</si>
  <si>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</si>
  <si>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</si>
  <si>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</si>
  <si>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</si>
  <si>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</si>
  <si>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</si>
  <si>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</si>
  <si>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</si>
  <si>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</si>
  <si>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</si>
  <si>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</si>
  <si>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</si>
  <si>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</si>
  <si>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</si>
  <si>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</si>
  <si>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</si>
  <si>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</si>
  <si>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</si>
  <si>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</si>
  <si>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</si>
  <si>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</si>
  <si>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</si>
  <si>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</si>
  <si>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</si>
  <si>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</si>
  <si>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</si>
  <si>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</si>
  <si>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</si>
  <si>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</si>
  <si>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</si>
  <si>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</si>
  <si>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</si>
  <si>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</si>
  <si>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</si>
  <si>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</si>
  <si>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</si>
  <si>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</si>
  <si>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</si>
  <si>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</si>
  <si>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</si>
  <si>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</si>
  <si>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</si>
  <si>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</si>
  <si>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</si>
  <si>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</si>
  <si>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</si>
  <si>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</si>
  <si>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</si>
  <si>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</si>
  <si>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</si>
  <si>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</si>
  <si>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</si>
  <si>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</si>
  <si>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</si>
  <si>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</si>
  <si>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</si>
  <si>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</si>
  <si>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</si>
  <si>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</si>
  <si>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</si>
  <si>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</si>
  <si>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</si>
  <si>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</si>
  <si>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</si>
  <si>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</si>
  <si>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</si>
  <si>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</si>
  <si>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</si>
  <si>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</si>
  <si>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</si>
  <si>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</si>
  <si>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</si>
  <si>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</si>
  <si>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</si>
  <si>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</si>
  <si>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</si>
  <si>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</si>
  <si>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</si>
  <si>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</si>
  <si>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</si>
  <si>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</si>
  <si>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</si>
  <si>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</si>
  <si>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</si>
  <si>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</si>
  <si>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</si>
  <si>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</si>
  <si>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</si>
  <si>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</si>
  <si>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</si>
  <si>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</si>
  <si>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</si>
  <si>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</si>
  <si>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</si>
  <si>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</si>
  <si>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</si>
  <si>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</si>
  <si>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</si>
  <si>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</si>
  <si>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</si>
  <si>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</si>
  <si>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</si>
  <si>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</si>
  <si>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</si>
  <si>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</si>
  <si>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</si>
  <si>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</si>
  <si>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</si>
  <si>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</si>
  <si>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</si>
  <si>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</si>
  <si>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</si>
  <si>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</si>
  <si>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</si>
  <si>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</si>
  <si>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</si>
  <si>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</si>
  <si>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</si>
  <si>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</si>
  <si>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</si>
  <si>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</si>
  <si>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</si>
  <si>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</si>
  <si>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</si>
  <si>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</si>
  <si>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</si>
  <si>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</si>
  <si>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</si>
  <si>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</si>
  <si>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</si>
  <si>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</si>
  <si>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</si>
  <si>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</si>
  <si>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</si>
  <si>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</si>
  <si>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</si>
  <si>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</si>
  <si>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</si>
  <si>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</si>
  <si>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</si>
  <si>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</si>
  <si>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</si>
  <si>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</si>
  <si>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</si>
  <si>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</si>
  <si>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</si>
  <si>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</si>
  <si>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</si>
  <si>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</si>
  <si>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</si>
  <si>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</si>
  <si>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</si>
  <si>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</si>
  <si>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</si>
  <si>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</si>
  <si>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</si>
  <si>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</si>
  <si>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</si>
  <si>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</si>
  <si>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</si>
  <si>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</si>
  <si>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</si>
  <si>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</si>
  <si>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</si>
  <si>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</si>
  <si>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</si>
  <si>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</si>
  <si>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</si>
  <si>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</si>
  <si>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</si>
  <si>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</si>
  <si>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</si>
  <si>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</si>
  <si>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</si>
  <si>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</si>
  <si>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</si>
  <si>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</si>
  <si>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</si>
  <si>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</si>
  <si>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</si>
  <si>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</si>
  <si>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</si>
  <si>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</si>
  <si>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</si>
  <si>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</si>
  <si>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</si>
  <si>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</si>
  <si>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</si>
  <si>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</si>
  <si>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</si>
  <si>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</si>
  <si>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</si>
  <si>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</si>
  <si>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</si>
  <si>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</si>
  <si>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</si>
  <si>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</si>
  <si>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</si>
  <si>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</si>
  <si>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</si>
  <si>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</si>
  <si>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</si>
  <si>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</si>
  <si>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</si>
  <si>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</si>
  <si>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</si>
  <si>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</si>
  <si>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</si>
  <si>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</si>
  <si>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</si>
  <si>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</si>
  <si>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</si>
  <si>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</si>
  <si>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</si>
  <si>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</si>
  <si>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</si>
  <si>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</si>
  <si>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</si>
  <si>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</si>
  <si>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</si>
  <si>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</si>
  <si>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</si>
  <si>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</si>
  <si>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</si>
  <si>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</si>
  <si>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</si>
  <si>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</si>
  <si>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</si>
  <si>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</si>
  <si>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</si>
  <si>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</si>
  <si>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</si>
  <si>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</si>
  <si>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</si>
  <si>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</si>
  <si>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</si>
  <si>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</si>
  <si>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</si>
  <si>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</si>
  <si>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</si>
  <si>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</si>
  <si>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</si>
  <si>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</si>
  <si>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</si>
  <si>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</si>
  <si>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</si>
  <si>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</si>
  <si>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</si>
  <si>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</si>
  <si>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</si>
  <si>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</si>
  <si>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</si>
  <si>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</si>
  <si>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</si>
  <si>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</si>
  <si>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</si>
  <si>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</si>
  <si>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</si>
  <si>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</si>
  <si>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</si>
  <si>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</si>
  <si>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</si>
  <si>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</si>
  <si>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</si>
  <si>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</si>
  <si>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</si>
  <si>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</si>
  <si>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</si>
  <si>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</si>
  <si>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</si>
  <si>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</si>
  <si>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</si>
  <si>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</si>
  <si>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</si>
  <si>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</si>
  <si>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</si>
  <si>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</si>
  <si>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</si>
  <si>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</si>
  <si>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</si>
  <si>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</si>
  <si>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</si>
  <si>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</si>
  <si>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</si>
  <si>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</si>
  <si>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</si>
  <si>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</si>
  <si>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</si>
  <si>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</si>
  <si>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</si>
  <si>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</si>
  <si>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</si>
  <si>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</si>
  <si>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</si>
  <si>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</si>
  <si>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</si>
  <si>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</si>
  <si>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</si>
  <si>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</si>
  <si>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</si>
  <si>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</si>
  <si>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</si>
  <si>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</si>
  <si>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</si>
  <si>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</si>
  <si>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</si>
  <si>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</si>
  <si>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</si>
  <si>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</si>
  <si>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</si>
  <si>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</si>
  <si>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</si>
  <si>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</si>
  <si>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</si>
  <si>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</si>
  <si>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</si>
  <si>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</si>
  <si>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</si>
  <si>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</si>
  <si>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</si>
  <si>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</si>
  <si>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</si>
  <si>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</si>
  <si>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</si>
  <si>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</si>
  <si>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</si>
  <si>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</si>
  <si>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</si>
  <si>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</si>
  <si>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</si>
  <si>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</si>
  <si>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</si>
  <si>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</si>
  <si>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</si>
  <si>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</si>
  <si>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</si>
  <si>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</si>
  <si>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</si>
  <si>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</si>
  <si>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</si>
  <si>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</si>
  <si>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</si>
  <si>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</si>
  <si>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</si>
  <si>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</si>
  <si>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</si>
  <si>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</si>
  <si>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</si>
  <si>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</si>
  <si>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</si>
  <si>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</si>
  <si>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</si>
  <si>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</si>
  <si>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</si>
  <si>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</si>
  <si>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</si>
  <si>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</si>
  <si>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</si>
  <si>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</si>
  <si>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</si>
  <si>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</si>
  <si>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</si>
  <si>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</si>
  <si>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</si>
  <si>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</si>
  <si>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</si>
  <si>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</si>
  <si>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</si>
  <si>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</si>
  <si>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</si>
  <si>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</si>
  <si>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</si>
  <si>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</si>
  <si>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</si>
  <si>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</si>
  <si>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</si>
  <si>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</si>
  <si>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</si>
  <si>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</si>
  <si>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</si>
  <si>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</si>
  <si>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</si>
  <si>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</si>
  <si>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</si>
  <si>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</si>
  <si>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</si>
  <si>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</si>
  <si>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</si>
  <si>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</si>
  <si>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</si>
  <si>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</si>
  <si>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</si>
  <si>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</si>
  <si>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</si>
  <si>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</si>
  <si>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</si>
  <si>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</si>
  <si>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</si>
  <si>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</si>
  <si>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</si>
  <si>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</si>
  <si>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</si>
  <si>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</si>
  <si>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</si>
  <si>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</si>
  <si>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</si>
  <si>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</si>
  <si>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</si>
  <si>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</si>
  <si>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</si>
  <si>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</si>
  <si>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</si>
  <si>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</si>
  <si>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</si>
  <si>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</si>
  <si>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</si>
  <si>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</si>
  <si>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</si>
  <si>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</si>
  <si>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</si>
  <si>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</si>
  <si>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</si>
  <si>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</si>
  <si>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</si>
  <si>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</si>
  <si>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</si>
  <si>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</si>
  <si>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</si>
  <si>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</si>
  <si>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</si>
  <si>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</si>
  <si>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</si>
  <si>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</si>
  <si>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</si>
  <si>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</si>
  <si>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</si>
  <si>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</si>
  <si>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</si>
  <si>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</si>
  <si>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</si>
  <si>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</si>
  <si>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</si>
  <si>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</si>
  <si>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</si>
  <si>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</si>
  <si>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</si>
  <si>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</si>
  <si>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</si>
  <si>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</si>
  <si>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</si>
  <si>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</si>
  <si>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</si>
  <si>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</si>
  <si>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</si>
  <si>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</si>
  <si>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</si>
  <si>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</si>
  <si>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</si>
  <si>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</si>
  <si>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</si>
  <si>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</si>
  <si>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</si>
  <si>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</si>
  <si>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</si>
  <si>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</si>
  <si>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</si>
  <si>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</si>
  <si>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</si>
  <si>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</si>
  <si>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</si>
  <si>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</si>
  <si>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</si>
  <si>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</si>
  <si>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</si>
  <si>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</si>
  <si>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</si>
  <si>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</si>
  <si>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</si>
  <si>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</si>
  <si>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</si>
  <si>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</si>
  <si>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</si>
  <si>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</si>
  <si>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</si>
  <si>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</si>
  <si>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</si>
  <si>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</si>
  <si>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</si>
  <si>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</si>
  <si>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</si>
  <si>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</si>
  <si>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</si>
  <si>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</si>
  <si>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</si>
  <si>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</si>
  <si>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</si>
  <si>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</si>
  <si>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</si>
  <si>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</si>
  <si>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</si>
  <si>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</si>
  <si>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</si>
  <si>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</si>
  <si>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</si>
  <si>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</si>
  <si>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</si>
  <si>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</si>
  <si>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</si>
  <si>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</si>
  <si>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</si>
  <si>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</si>
  <si>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</si>
  <si>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</si>
  <si>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</si>
  <si>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</si>
  <si>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</si>
  <si>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</si>
  <si>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</si>
  <si>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</si>
  <si>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</si>
  <si>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</si>
  <si>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</si>
  <si>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</si>
  <si>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</si>
  <si>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</si>
  <si>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</si>
  <si>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</si>
  <si>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</si>
  <si>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</si>
  <si>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</si>
  <si>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</si>
  <si>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</si>
  <si>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</si>
  <si>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</si>
  <si>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</si>
  <si>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</si>
  <si>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</si>
  <si>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</si>
  <si>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</si>
  <si>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</si>
  <si>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</si>
  <si>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</si>
  <si>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</si>
  <si>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</si>
  <si>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</si>
  <si>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</si>
  <si>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</si>
  <si>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</si>
  <si>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</si>
  <si>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</si>
  <si>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</si>
  <si>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</si>
  <si>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</si>
  <si>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</si>
  <si>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</si>
  <si>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</si>
  <si>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</si>
  <si>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</si>
  <si>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</si>
  <si>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</si>
  <si>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</si>
  <si>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</si>
  <si>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</si>
  <si>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</si>
  <si>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</si>
  <si>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</si>
  <si>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</si>
  <si>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</si>
  <si>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</si>
  <si>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</si>
  <si>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</si>
  <si>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</si>
  <si>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</si>
  <si>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</si>
  <si>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</si>
  <si>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</si>
  <si>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</si>
  <si>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</si>
  <si>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</si>
  <si>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</si>
  <si>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</si>
  <si>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</si>
  <si>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</si>
  <si>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</si>
  <si>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</si>
  <si>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</si>
  <si>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</si>
  <si>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</si>
  <si>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</si>
  <si>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</si>
  <si>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</si>
  <si>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</si>
  <si>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</si>
  <si>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</si>
  <si>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</si>
  <si>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</si>
  <si>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</si>
  <si>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</si>
  <si>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</si>
  <si>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</si>
  <si>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</si>
  <si>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</si>
  <si>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</si>
  <si>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</si>
  <si>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</si>
  <si>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</si>
  <si>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</si>
  <si>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</si>
  <si>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</si>
  <si>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</si>
  <si>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</si>
  <si>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</si>
  <si>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</si>
  <si>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</si>
  <si>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</si>
  <si>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</si>
  <si>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</si>
  <si>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</si>
  <si>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</si>
  <si>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</si>
  <si>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</si>
  <si>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</si>
  <si>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</si>
  <si>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</si>
  <si>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</si>
  <si>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</si>
  <si>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</si>
  <si>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</si>
  <si>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</si>
  <si>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</si>
  <si>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</si>
  <si>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</si>
  <si>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</si>
  <si>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</si>
  <si>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</si>
  <si>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</si>
  <si>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</si>
  <si>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</si>
  <si>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</si>
  <si>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</si>
  <si>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</si>
  <si>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</si>
  <si>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</si>
  <si>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</si>
  <si>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</si>
  <si>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</si>
  <si>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</si>
  <si>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</si>
  <si>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</si>
  <si>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</si>
  <si>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</si>
  <si>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</si>
  <si>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</si>
  <si>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</si>
  <si>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</si>
  <si>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</si>
  <si>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</si>
  <si>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</si>
  <si>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</si>
  <si>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</si>
  <si>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</si>
  <si>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</si>
  <si>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</si>
  <si>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</si>
  <si>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</si>
  <si>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</si>
  <si>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</si>
  <si>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</si>
  <si>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</si>
  <si>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</si>
  <si>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</si>
  <si>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</si>
  <si>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</si>
  <si>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</si>
  <si>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</si>
  <si>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</si>
  <si>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</si>
  <si>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</si>
  <si>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</si>
  <si>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</si>
  <si>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</si>
  <si>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</si>
  <si>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</si>
  <si>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</si>
  <si>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</si>
  <si>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</si>
  <si>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</si>
  <si>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</si>
  <si>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</si>
  <si>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</si>
  <si>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</si>
  <si>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</si>
  <si>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</si>
  <si>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</si>
  <si>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</si>
  <si>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</si>
  <si>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</si>
  <si>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</si>
  <si>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</si>
  <si>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</si>
  <si>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</si>
  <si>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</si>
  <si>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</si>
  <si>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</si>
  <si>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</si>
  <si>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</si>
  <si>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</si>
  <si>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</si>
  <si>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</si>
  <si>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</si>
  <si>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</si>
  <si>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</si>
  <si>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</si>
  <si>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</si>
  <si>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</si>
  <si>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</si>
  <si>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</si>
  <si>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</si>
  <si>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</si>
  <si>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</si>
  <si>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</si>
  <si>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</si>
  <si>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</si>
  <si>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</si>
  <si>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</si>
  <si>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</si>
  <si>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</si>
  <si>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</si>
  <si>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</si>
  <si>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</si>
  <si>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</si>
  <si>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</si>
  <si>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</si>
  <si>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</si>
  <si>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</si>
  <si>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</si>
  <si>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</si>
  <si>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</si>
  <si>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</si>
  <si>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</si>
  <si>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</si>
  <si>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</si>
  <si>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</si>
  <si>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</si>
  <si>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</si>
  <si>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</si>
  <si>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</si>
  <si>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</si>
  <si>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</si>
  <si>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</si>
  <si>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</si>
  <si>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</si>
  <si>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</si>
  <si>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</si>
  <si>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</si>
  <si>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</si>
  <si>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</si>
  <si>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</si>
  <si>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</si>
  <si>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</si>
  <si>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</si>
  <si>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</si>
  <si>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</si>
  <si>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</si>
  <si>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</si>
  <si>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</si>
  <si>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</si>
  <si>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</si>
  <si>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</si>
  <si>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</si>
  <si>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</si>
  <si>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</si>
  <si>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</si>
  <si>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</si>
  <si>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</si>
  <si>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</si>
  <si>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</si>
  <si>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</si>
  <si>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</si>
  <si>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</si>
  <si>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</si>
  <si>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</si>
  <si>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</si>
  <si>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</si>
  <si>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</si>
  <si>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</si>
  <si>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</si>
  <si>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</si>
  <si>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</si>
  <si>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</si>
  <si>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</si>
  <si>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</si>
  <si>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</si>
  <si>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</si>
  <si>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</si>
  <si>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</si>
  <si>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</si>
  <si>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</si>
  <si>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</si>
  <si>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</si>
  <si>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</si>
  <si>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</si>
  <si>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</si>
  <si>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</si>
  <si>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</si>
  <si>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</si>
  <si>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</si>
  <si>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</si>
  <si>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</si>
  <si>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</si>
  <si>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</si>
  <si>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</si>
  <si>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</si>
  <si>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</si>
  <si>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</si>
  <si>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</si>
  <si>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</si>
  <si>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</si>
  <si>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</si>
  <si>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</si>
  <si>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</si>
  <si>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</si>
  <si>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</si>
  <si>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</si>
  <si>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</si>
  <si>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</si>
  <si>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</si>
  <si>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</si>
  <si>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</si>
  <si>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</si>
  <si>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</si>
  <si>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</si>
  <si>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</si>
  <si>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</si>
  <si>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</si>
  <si>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</si>
  <si>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</si>
  <si>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</si>
  <si>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</si>
  <si>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</si>
  <si>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</si>
  <si>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</si>
  <si>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</si>
  <si>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</si>
  <si>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</si>
  <si>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</si>
  <si>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</si>
  <si>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</si>
  <si>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</si>
  <si>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</si>
  <si>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</si>
  <si>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</si>
  <si>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</si>
  <si>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</si>
  <si>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</si>
  <si>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</si>
  <si>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</si>
  <si>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</si>
  <si>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</si>
  <si>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</si>
  <si>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</si>
  <si>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</si>
  <si>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</si>
  <si>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</si>
  <si>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</si>
  <si>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</si>
  <si>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</si>
  <si>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</si>
  <si>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</si>
  <si>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</si>
  <si>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</si>
  <si>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</si>
  <si>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</si>
  <si>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</si>
  <si>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</si>
  <si>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</si>
  <si>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</si>
  <si>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</si>
  <si>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</si>
  <si>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</si>
  <si>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</si>
  <si>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</si>
  <si>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</si>
  <si>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</si>
  <si>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</si>
  <si>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</si>
  <si>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</si>
  <si>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</si>
  <si>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</si>
  <si>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</si>
  <si>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</si>
  <si>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</si>
  <si>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</si>
  <si>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</si>
  <si>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</si>
  <si>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</si>
  <si>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</si>
  <si>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</si>
  <si>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</si>
  <si>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</si>
  <si>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</si>
  <si>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</si>
  <si>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</si>
  <si>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</si>
  <si>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</si>
  <si>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</si>
  <si>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</si>
  <si>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</si>
  <si>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</si>
  <si>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</si>
  <si>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</si>
  <si>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</si>
  <si>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</si>
  <si>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</si>
  <si>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</si>
  <si>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</si>
  <si>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</si>
  <si>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</si>
  <si>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</si>
  <si>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</si>
  <si>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</si>
  <si>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</si>
  <si>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</si>
  <si>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</si>
  <si>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</si>
  <si>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</si>
  <si>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</si>
  <si>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</si>
  <si>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</si>
  <si>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</si>
  <si>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</si>
  <si>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</si>
  <si>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</si>
  <si>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</si>
  <si>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</si>
  <si>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</si>
  <si>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</si>
  <si>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</si>
  <si>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</si>
  <si>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</si>
  <si>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</si>
  <si>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</si>
  <si>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</si>
  <si>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</si>
  <si>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</si>
  <si>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</si>
  <si>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</si>
  <si>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</si>
  <si>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</si>
  <si>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</si>
  <si>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</si>
  <si>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</si>
  <si>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</si>
  <si>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</si>
  <si>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</si>
  <si>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</si>
  <si>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</si>
  <si>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</si>
  <si>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</si>
  <si>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</si>
  <si>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</si>
  <si>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</si>
  <si>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</si>
  <si>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</si>
  <si>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</si>
  <si>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</si>
  <si>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</si>
  <si>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</si>
  <si>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</si>
  <si>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</si>
  <si>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</si>
  <si>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</si>
  <si>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</si>
  <si>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</si>
  <si>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</si>
  <si>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</si>
  <si>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</si>
  <si>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</si>
  <si>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</si>
  <si>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</si>
  <si>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</si>
  <si>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</si>
  <si>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</si>
  <si>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</si>
  <si>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</si>
  <si>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</si>
  <si>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</si>
  <si>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</si>
  <si>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</si>
  <si>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</si>
  <si>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</si>
  <si>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</si>
  <si>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</si>
  <si>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</si>
  <si>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</si>
  <si>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</si>
  <si>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</si>
  <si>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</si>
  <si>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</si>
  <si>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</si>
  <si>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</si>
  <si>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</si>
  <si>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</si>
  <si>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</si>
  <si>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</si>
  <si>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</si>
  <si>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</si>
  <si>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</si>
  <si>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</si>
  <si>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</si>
  <si>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</si>
  <si>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</si>
  <si>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</si>
  <si>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</si>
  <si>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</si>
  <si>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</si>
  <si>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</si>
  <si>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</si>
  <si>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</si>
  <si>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</si>
  <si>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</si>
  <si>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</si>
  <si>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</si>
  <si>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</si>
  <si>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</si>
  <si>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</si>
  <si>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</si>
  <si>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</si>
  <si>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</si>
  <si>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</si>
  <si>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</si>
  <si>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</si>
  <si>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</si>
  <si>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</si>
  <si>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</si>
  <si>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</si>
  <si>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</si>
  <si>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</si>
  <si>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</si>
  <si>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</si>
  <si>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</si>
  <si>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</si>
  <si>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</si>
  <si>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</si>
  <si>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</si>
  <si>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</si>
  <si>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</si>
  <si>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</si>
  <si>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</si>
  <si>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</si>
  <si>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</si>
  <si>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</si>
  <si>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</si>
  <si>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</si>
  <si>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</si>
  <si>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</si>
  <si>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</si>
  <si>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</si>
  <si>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</si>
  <si>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</si>
  <si>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</si>
  <si>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</si>
  <si>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</si>
  <si>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</si>
  <si>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</si>
  <si>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</si>
  <si>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</si>
  <si>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</si>
  <si>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</si>
  <si>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</si>
  <si>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</si>
  <si>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</si>
  <si>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</si>
  <si>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</si>
  <si>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</si>
  <si>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</si>
  <si>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</si>
  <si>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</si>
  <si>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</si>
  <si>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</si>
  <si>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</si>
  <si>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</si>
  <si>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</si>
  <si>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</si>
  <si>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</si>
  <si>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</si>
  <si>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</si>
  <si>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</si>
  <si>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</si>
  <si>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</si>
  <si>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</si>
  <si>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</si>
  <si>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</si>
  <si>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</si>
  <si>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</si>
  <si>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</si>
  <si>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</si>
  <si>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</si>
  <si>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</si>
  <si>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</si>
  <si>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</si>
  <si>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</si>
  <si>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</si>
  <si>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</si>
  <si>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</si>
  <si>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</si>
  <si>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</si>
  <si>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</si>
  <si>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</si>
  <si>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</si>
  <si>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</si>
  <si>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</si>
  <si>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</si>
  <si>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</si>
  <si>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</si>
  <si>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</si>
  <si>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</si>
  <si>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</si>
  <si>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</si>
  <si>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</si>
  <si>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</si>
  <si>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</si>
  <si>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</si>
  <si>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</si>
  <si>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</si>
  <si>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</si>
  <si>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</si>
  <si>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</si>
  <si>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</si>
  <si>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</si>
  <si>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</si>
  <si>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</si>
  <si>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</si>
  <si>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</si>
  <si>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</si>
  <si>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</si>
  <si>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</si>
  <si>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</si>
  <si>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</si>
  <si>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</si>
  <si>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</si>
  <si>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</si>
  <si>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</si>
  <si>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</si>
  <si>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</si>
  <si>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</si>
  <si>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</si>
  <si>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</si>
  <si>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</si>
  <si>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</si>
  <si>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</si>
  <si>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</si>
  <si>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</si>
  <si>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</si>
  <si>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</si>
  <si>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</si>
  <si>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</si>
  <si>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</si>
  <si>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</si>
  <si>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</si>
  <si>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</si>
  <si>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</si>
  <si>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</si>
  <si>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</si>
  <si>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</si>
  <si>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</si>
  <si>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</si>
  <si>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</si>
  <si>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</si>
  <si>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</si>
  <si>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</si>
  <si>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</si>
  <si>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</si>
  <si>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</si>
  <si>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</si>
  <si>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</si>
  <si>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</si>
  <si>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</si>
  <si>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</si>
  <si>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</si>
  <si>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</si>
  <si>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</si>
  <si>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</si>
  <si>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</si>
  <si>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</si>
  <si>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</si>
  <si>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</si>
  <si>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</si>
  <si>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</si>
  <si>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</si>
  <si>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</si>
  <si>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</si>
  <si>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</si>
  <si>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</si>
  <si>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</si>
  <si>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</si>
  <si>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</si>
  <si>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</si>
  <si>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</si>
  <si>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</si>
  <si>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</si>
  <si>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</si>
  <si>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</si>
  <si>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</si>
  <si>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</si>
  <si>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</si>
  <si>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</si>
  <si>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</si>
  <si>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</si>
  <si>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</si>
  <si>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</si>
  <si>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</si>
  <si>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</si>
  <si>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</si>
  <si>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</si>
  <si>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</si>
  <si>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</si>
  <si>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</si>
  <si>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</si>
  <si>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</si>
  <si>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</si>
  <si>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</si>
  <si>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</si>
  <si>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</si>
  <si>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</si>
  <si>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</si>
  <si>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</si>
  <si>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</si>
  <si>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</si>
  <si>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</si>
  <si>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</si>
  <si>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</si>
  <si>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</si>
  <si>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</si>
  <si>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</si>
  <si>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</si>
  <si>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</si>
  <si>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</si>
  <si>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</si>
  <si>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</si>
  <si>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</si>
  <si>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</si>
  <si>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</si>
  <si>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</si>
  <si>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</si>
  <si>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</si>
  <si>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</si>
  <si>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</si>
  <si>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</si>
  <si>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</si>
  <si>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</si>
  <si>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</si>
  <si>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</si>
  <si>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</si>
  <si>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</si>
  <si>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</si>
  <si>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</si>
  <si>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</si>
  <si>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</si>
  <si>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</si>
  <si>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</si>
  <si>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</si>
  <si>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</si>
  <si>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</si>
  <si>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</si>
  <si>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</si>
  <si>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</si>
  <si>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</si>
  <si>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</si>
  <si>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</si>
  <si>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</si>
  <si>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</si>
  <si>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</si>
  <si>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</si>
  <si>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</si>
  <si>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</si>
  <si>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</si>
  <si>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</si>
  <si>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</si>
  <si>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</si>
  <si>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</si>
  <si>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</si>
  <si>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</si>
  <si>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</si>
  <si>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</si>
  <si>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</si>
  <si>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</si>
  <si>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</si>
  <si>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</si>
  <si>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</si>
  <si>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</si>
  <si>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</si>
  <si>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</si>
  <si>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</si>
  <si>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</si>
  <si>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</si>
  <si>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</si>
  <si>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</si>
  <si>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</si>
  <si>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</si>
  <si>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</si>
  <si>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</si>
  <si>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</si>
  <si>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</si>
  <si>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</si>
  <si>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</si>
  <si>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</si>
  <si>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</si>
  <si>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</si>
  <si>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</si>
  <si>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</si>
  <si>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</si>
  <si>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</si>
  <si>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</si>
  <si>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</si>
  <si>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</si>
  <si>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</si>
  <si>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</si>
  <si>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</si>
  <si>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</si>
  <si>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</si>
  <si>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</si>
  <si>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</si>
  <si>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</si>
  <si>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</si>
  <si>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</si>
  <si>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</si>
  <si>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</si>
  <si>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</si>
  <si>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</si>
  <si>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</si>
  <si>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</si>
  <si>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</si>
  <si>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</si>
  <si>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</si>
  <si>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</si>
  <si>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</si>
  <si>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</si>
  <si>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</si>
  <si>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</si>
  <si>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</si>
  <si>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</si>
  <si>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</si>
  <si>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</si>
  <si>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</si>
  <si>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</si>
  <si>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</si>
  <si>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</si>
  <si>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</si>
  <si>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</si>
  <si>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</si>
  <si>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</si>
  <si>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</si>
  <si>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</si>
  <si>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</si>
  <si>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</si>
  <si>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</si>
  <si>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</si>
  <si>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</si>
  <si>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</si>
  <si>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</si>
  <si>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</si>
  <si>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</si>
  <si>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</si>
  <si>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</si>
  <si>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</si>
  <si>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</si>
  <si>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</si>
  <si>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</si>
  <si>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</si>
  <si>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</si>
  <si>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</si>
  <si>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</si>
  <si>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</si>
  <si>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</si>
  <si>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</si>
  <si>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</si>
  <si>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</si>
  <si>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</si>
  <si>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</si>
  <si>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</si>
  <si>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</si>
  <si>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</si>
  <si>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</si>
  <si>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</si>
  <si>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</si>
  <si>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</si>
  <si>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</si>
  <si>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</si>
  <si>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</si>
  <si>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</si>
  <si>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</si>
  <si>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</si>
  <si>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</si>
  <si>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</si>
  <si>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</si>
  <si>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</si>
  <si>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</si>
  <si>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</si>
  <si>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</si>
  <si>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</si>
  <si>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</si>
  <si>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</si>
  <si>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</si>
  <si>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</si>
  <si>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</si>
  <si>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</si>
  <si>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</si>
  <si>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</si>
  <si>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</si>
  <si>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</si>
  <si>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</si>
  <si>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</si>
  <si>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</si>
  <si>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</si>
  <si>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</si>
  <si>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</si>
  <si>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</si>
  <si>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</si>
  <si>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</si>
  <si>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</si>
  <si>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</si>
  <si>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</si>
  <si>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</si>
  <si>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</si>
  <si>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</si>
  <si>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</si>
  <si>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</si>
  <si>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</si>
  <si>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</si>
  <si>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</si>
  <si>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</si>
  <si>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</si>
  <si>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</si>
  <si>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</si>
  <si>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</si>
  <si>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</si>
  <si>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</si>
  <si>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</si>
  <si>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</si>
  <si>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</si>
  <si>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</si>
  <si>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</si>
  <si>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</si>
  <si>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</si>
  <si>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</si>
  <si>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</si>
  <si>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</si>
  <si>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</si>
  <si>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</si>
  <si>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</si>
  <si>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</si>
  <si>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</si>
  <si>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</si>
  <si>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</si>
  <si>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</si>
  <si>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</si>
  <si>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</si>
  <si>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</si>
  <si>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</si>
  <si>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</si>
  <si>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</si>
  <si>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</si>
  <si>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</si>
  <si>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</si>
  <si>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</si>
  <si>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</si>
  <si>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</si>
  <si>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</si>
  <si>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</si>
  <si>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</si>
  <si>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</si>
  <si>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</si>
  <si>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</si>
  <si>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</si>
  <si>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</si>
  <si>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</si>
  <si>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</si>
  <si>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</si>
  <si>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</si>
  <si>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</si>
  <si>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</si>
  <si>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</si>
  <si>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</si>
  <si>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</si>
  <si>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</si>
  <si>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</si>
  <si>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</si>
  <si>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</si>
  <si>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</si>
  <si>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</si>
  <si>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</si>
  <si>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</si>
  <si>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</si>
  <si>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</si>
  <si>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</si>
  <si>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</si>
  <si>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</si>
  <si>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</si>
  <si>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</si>
  <si>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</si>
  <si>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</si>
  <si>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</si>
  <si>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</si>
  <si>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</si>
  <si>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</si>
  <si>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</si>
  <si>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</si>
  <si>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</si>
  <si>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</si>
  <si>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</si>
  <si>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</si>
  <si>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</si>
  <si>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</si>
  <si>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</si>
  <si>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</si>
  <si>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</si>
  <si>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</si>
  <si>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</si>
  <si>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</si>
  <si>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</si>
  <si>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</si>
  <si>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</si>
  <si>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</si>
  <si>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</si>
  <si>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</si>
  <si>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</si>
  <si>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</si>
  <si>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</si>
  <si>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</si>
  <si>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</si>
  <si>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</si>
  <si>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</si>
  <si>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</si>
  <si>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</si>
  <si>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</si>
  <si>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</si>
  <si>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</si>
  <si>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</si>
  <si>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</si>
  <si>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</si>
  <si>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</si>
  <si>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</si>
  <si>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</si>
  <si>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</si>
  <si>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</si>
  <si>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</si>
  <si>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</si>
  <si>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</si>
  <si>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</si>
  <si>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</si>
  <si>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</si>
  <si>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</si>
  <si>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</si>
  <si>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</si>
  <si>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</si>
  <si>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</si>
  <si>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</si>
  <si>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</si>
  <si>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</si>
  <si>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</si>
  <si>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</si>
  <si>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</si>
  <si>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</si>
  <si>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</si>
  <si>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</si>
  <si>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</si>
  <si>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</si>
  <si>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</si>
  <si>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</si>
  <si>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</si>
  <si>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</si>
  <si>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</si>
  <si>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</si>
  <si>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</si>
  <si>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</si>
  <si>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</si>
  <si>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</si>
  <si>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</si>
  <si>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</si>
  <si>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</si>
  <si>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</si>
  <si>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</si>
  <si>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</si>
  <si>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</si>
  <si>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</si>
  <si>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</si>
  <si>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</si>
  <si>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</si>
  <si>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</si>
  <si>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</si>
  <si>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</si>
  <si>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</si>
  <si>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</si>
  <si>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</si>
  <si>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</si>
  <si>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</si>
  <si>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</si>
  <si>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</si>
  <si>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</si>
  <si>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</si>
  <si>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</si>
  <si>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</si>
  <si>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</si>
  <si>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</si>
  <si>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</si>
  <si>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</si>
  <si>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</si>
  <si>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</si>
  <si>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</si>
  <si>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</si>
  <si>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</si>
  <si>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</si>
  <si>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</si>
  <si>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</si>
  <si>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</si>
  <si>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</si>
  <si>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</si>
  <si>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</si>
  <si>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</si>
  <si>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</si>
  <si>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</si>
  <si>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</si>
  <si>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</si>
  <si>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</si>
  <si>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</si>
  <si>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</si>
  <si>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</si>
  <si>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</si>
  <si>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</si>
  <si>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</si>
  <si>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</si>
  <si>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</si>
  <si>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</si>
  <si>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</si>
  <si>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</si>
  <si>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</si>
  <si>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</si>
  <si>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</si>
  <si>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</si>
  <si>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</si>
  <si>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</si>
  <si>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</si>
  <si>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</si>
  <si>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</si>
  <si>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</si>
  <si>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</si>
  <si>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</si>
  <si>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</si>
  <si>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</si>
  <si>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</si>
  <si>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</si>
  <si>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</si>
  <si>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</si>
  <si>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</si>
  <si>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</si>
  <si>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</si>
  <si>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</si>
  <si>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</si>
  <si>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</si>
  <si>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</si>
  <si>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</si>
  <si>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</si>
  <si>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</si>
  <si>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</si>
  <si>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</si>
  <si>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</si>
  <si>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</si>
  <si>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</si>
  <si>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</si>
  <si>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</si>
  <si>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</si>
  <si>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</si>
  <si>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</si>
  <si>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</si>
  <si>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</si>
  <si>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</si>
  <si>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</si>
  <si>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</si>
  <si>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</si>
  <si>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</si>
  <si>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</si>
  <si>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</si>
  <si>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</si>
  <si>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</si>
  <si>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</si>
  <si>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</si>
  <si>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</si>
  <si>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</si>
  <si>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</si>
  <si>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</si>
  <si>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</si>
  <si>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</si>
  <si>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</si>
  <si>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</si>
  <si>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</si>
  <si>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</si>
  <si>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</si>
  <si>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</si>
  <si>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</si>
  <si>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</si>
  <si>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</si>
  <si>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</si>
  <si>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</si>
  <si>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</si>
  <si>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</si>
  <si>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</si>
  <si>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</si>
  <si>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</si>
  <si>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</si>
  <si>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</si>
  <si>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</si>
  <si>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高德庄园</t>
    <phoneticPr fontId="3" type="noConversion"/>
  </si>
  <si>
    <t>正常</t>
  </si>
  <si>
    <t>联排</t>
  </si>
  <si>
    <t>九龙山风景区</t>
    <phoneticPr fontId="3" type="noConversion"/>
  </si>
  <si>
    <t>较差</t>
  </si>
  <si>
    <t>较好</t>
  </si>
  <si>
    <t>茅山湾壹号院</t>
    <phoneticPr fontId="3" type="noConversion"/>
  </si>
  <si>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</si>
  <si>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</si>
  <si>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</si>
  <si>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</si>
  <si>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</si>
  <si>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</si>
  <si>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</si>
  <si>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</si>
  <si>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</si>
  <si>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</si>
  <si>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</si>
  <si>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</si>
  <si>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</si>
  <si>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</si>
  <si>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</si>
  <si>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</si>
  <si>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</si>
  <si>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</si>
  <si>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</si>
  <si>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</si>
  <si>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</si>
  <si>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</si>
  <si>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</si>
  <si>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</si>
  <si>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</si>
  <si>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</si>
  <si>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</si>
  <si>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</si>
  <si>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</si>
  <si>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</si>
  <si>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</si>
  <si>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</si>
  <si>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</si>
  <si>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</si>
  <si>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</si>
  <si>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</si>
  <si>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</si>
  <si>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</si>
  <si>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</si>
  <si>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</si>
  <si>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</si>
  <si>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</si>
  <si>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</si>
  <si>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</si>
  <si>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</si>
  <si>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</si>
  <si>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</si>
  <si>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</si>
  <si>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</si>
  <si>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</si>
  <si>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</si>
  <si>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</si>
  <si>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</si>
  <si>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</si>
  <si>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</si>
  <si>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</si>
  <si>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</si>
  <si>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</si>
  <si>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</si>
  <si>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</si>
  <si>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</si>
  <si>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</si>
  <si>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</si>
  <si>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</si>
  <si>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</si>
  <si>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</si>
  <si>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</si>
  <si>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</si>
  <si>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</si>
  <si>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</si>
  <si>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</si>
  <si>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</si>
  <si>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</si>
  <si>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</si>
  <si>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</si>
  <si>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</si>
  <si>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</si>
  <si>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</si>
  <si>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</si>
  <si>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</si>
  <si>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</si>
  <si>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</si>
  <si>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</si>
  <si>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</si>
  <si>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</si>
  <si>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</si>
  <si>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</si>
  <si>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</si>
  <si>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</si>
  <si>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</si>
  <si>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</si>
  <si>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</si>
  <si>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</si>
  <si>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</si>
  <si>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</si>
  <si>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</si>
  <si>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</si>
  <si>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</si>
  <si>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</si>
  <si>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</si>
  <si>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</si>
  <si>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</si>
  <si>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</si>
  <si>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</si>
  <si>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</si>
  <si>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</si>
  <si>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</si>
  <si>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</si>
  <si>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</si>
  <si>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</si>
  <si>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</si>
  <si>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</si>
  <si>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</si>
  <si>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</si>
  <si>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</si>
  <si>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</si>
  <si>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</si>
  <si>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</si>
  <si>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</si>
  <si>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</si>
  <si>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</si>
  <si>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</si>
  <si>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</si>
  <si>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</si>
  <si>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</si>
  <si>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</si>
  <si>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</si>
  <si>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</si>
  <si>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</si>
  <si>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</si>
  <si>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</si>
  <si>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</si>
  <si>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茅山管委会茅山大道东侧、万寿路南侧</t>
    <phoneticPr fontId="3" type="noConversion"/>
  </si>
  <si>
    <t>宝华镇滨河路西侧、宝一路南侧</t>
    <phoneticPr fontId="233" type="noConversion"/>
  </si>
  <si>
    <t>宝华镇滨河路西侧、宝一路南侧</t>
    <phoneticPr fontId="3" type="noConversion"/>
  </si>
  <si>
    <t>万福山庄</t>
    <phoneticPr fontId="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</si>
  <si>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</si>
  <si>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</si>
  <si>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</si>
  <si>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</si>
  <si>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</si>
  <si>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</si>
  <si>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</si>
  <si>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</si>
  <si>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</si>
  <si>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</si>
  <si>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</si>
  <si>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</si>
  <si>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句源路西侧、容广路北侧</t>
    <phoneticPr fontId="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</si>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</sst>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2&#22320;&#22359;&#8212;&#30005;&#31639;&#34920;-&#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3541;&#23665;66&#22320;&#2235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541;&#23665;62&#22320;&#22359;&#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3&#22320;&#2235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541;&#23665;63&#22320;&#22359;&#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4&#22320;&#22359;&#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3541;&#23665;64&#22320;&#22359;&#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5&#22320;&#22359;&#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3541;&#23665;65&#22320;&#22359;&#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6&#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14507</v>
          </cell>
          <cell r="C14">
            <v>18134</v>
          </cell>
        </row>
      </sheetData>
      <sheetData sheetId="16">
        <row r="32">
          <cell r="C32">
            <v>2793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2416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2712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11508</v>
          </cell>
          <cell r="C14">
            <v>14385</v>
          </cell>
        </row>
      </sheetData>
      <sheetData sheetId="16">
        <row r="32">
          <cell r="C32">
            <v>2191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2131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17894</v>
          </cell>
          <cell r="C14">
            <v>16267</v>
          </cell>
        </row>
      </sheetData>
      <sheetData sheetId="16">
        <row r="32">
          <cell r="C32">
            <v>3514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3476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25013</v>
          </cell>
          <cell r="C14">
            <v>22739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4762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12533</v>
          </cell>
          <cell r="C14">
            <v>11394</v>
          </cell>
        </row>
      </sheetData>
      <sheetData sheetId="16">
        <row r="32">
          <cell r="C32">
            <v>2443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2785</v>
      </c>
    </row>
    <row r="47" spans="1:2">
      <c r="A47" s="2877" t="s">
        <v>2726</v>
      </c>
      <c r="B47" s="2878">
        <f ca="1">'预评函-2'!Q5</f>
        <v>2321</v>
      </c>
    </row>
    <row r="48" spans="1:2">
      <c r="A48" s="2877" t="s">
        <v>2727</v>
      </c>
      <c r="B48" s="2878">
        <f ca="1">'预评函-2'!R5</f>
        <v>1842</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7" sqref="H2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0" t="str">
        <f>IF(B10="北京市","北京市",C10)&amp;F10&amp;B16&amp;"国有建设用地使用权"&amp;B9&amp;"预评估"</f>
        <v>出让国有建设用地使用权抵押价格预评估</v>
      </c>
      <c r="C1" s="3241"/>
      <c r="D1" s="3241"/>
      <c r="E1" s="3241"/>
      <c r="F1" s="3241"/>
      <c r="G1" s="3241"/>
      <c r="H1" s="3241"/>
      <c r="I1" s="3242"/>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46"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47"/>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3"/>
      <c r="C12" s="3244"/>
      <c r="D12" s="3245"/>
      <c r="E12" s="1697" t="s">
        <v>2063</v>
      </c>
      <c r="F12" s="3261" t="s">
        <v>2892</v>
      </c>
      <c r="G12" s="3262"/>
      <c r="H12" s="3262"/>
      <c r="I12" s="3263"/>
      <c r="J12" s="1692"/>
      <c r="K12" s="1772"/>
      <c r="L12" s="1721"/>
      <c r="M12" s="1721"/>
      <c r="N12" s="1692"/>
      <c r="O12" s="1693"/>
      <c r="P12" s="1692"/>
      <c r="Q12" s="1692"/>
      <c r="R12" s="1692"/>
      <c r="S12" s="1692"/>
      <c r="T12" s="1692"/>
      <c r="U12" s="1692"/>
    </row>
    <row r="13" spans="1:21">
      <c r="A13" s="1685" t="s">
        <v>2061</v>
      </c>
      <c r="B13" s="3243"/>
      <c r="C13" s="3244"/>
      <c r="D13" s="3245"/>
      <c r="E13" s="1697" t="s">
        <v>2063</v>
      </c>
      <c r="F13" s="3261" t="s">
        <v>2893</v>
      </c>
      <c r="G13" s="3262"/>
      <c r="H13" s="3262"/>
      <c r="I13" s="3263"/>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8"/>
      <c r="E20" s="3259"/>
      <c r="F20" s="3259"/>
      <c r="G20" s="3259"/>
      <c r="H20" s="3259"/>
      <c r="I20" s="3260"/>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48" t="s">
        <v>2000</v>
      </c>
      <c r="F21" s="3249"/>
      <c r="G21" s="3249"/>
      <c r="H21" s="3249"/>
      <c r="I21" s="3250"/>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48" t="s">
        <v>2894</v>
      </c>
      <c r="F22" s="3249"/>
      <c r="G22" s="3249"/>
      <c r="H22" s="3249"/>
      <c r="I22" s="3250"/>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51" t="s">
        <v>1968</v>
      </c>
      <c r="C24" s="3252"/>
      <c r="D24" s="3253" t="s">
        <v>1969</v>
      </c>
      <c r="E24" s="3254"/>
      <c r="F24" s="1706" t="s">
        <v>1970</v>
      </c>
      <c r="G24" s="1692"/>
      <c r="H24" s="1692"/>
      <c r="I24" s="1705"/>
      <c r="J24" s="1692"/>
      <c r="K24" s="3239"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3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3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25" t="s">
        <v>2003</v>
      </c>
      <c r="B31" s="1762" t="s">
        <v>2004</v>
      </c>
      <c r="C31" s="3264" t="s">
        <v>2996</v>
      </c>
      <c r="D31" s="3265"/>
      <c r="E31" s="1692"/>
      <c r="F31" s="1692"/>
      <c r="G31" s="1692"/>
      <c r="H31" s="1692"/>
      <c r="I31" s="1705"/>
      <c r="J31" s="1692"/>
      <c r="K31" s="2457"/>
      <c r="L31" s="1692"/>
      <c r="M31" s="1692"/>
      <c r="N31" s="1692"/>
      <c r="O31" s="1692"/>
      <c r="P31" s="1692"/>
      <c r="Q31" s="1692"/>
      <c r="R31" s="1692"/>
      <c r="S31" s="1692"/>
      <c r="T31" s="1692"/>
      <c r="U31" s="1692"/>
    </row>
    <row r="32" spans="1:21">
      <c r="A32" s="3225"/>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25"/>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26"/>
      <c r="B34" s="1659" t="s">
        <v>2007</v>
      </c>
      <c r="C34" s="3227"/>
      <c r="D34" s="3228"/>
      <c r="E34" s="1692"/>
      <c r="F34" s="1692"/>
      <c r="G34" s="1692"/>
      <c r="H34" s="1692"/>
      <c r="I34" s="1705"/>
      <c r="J34" s="1692"/>
      <c r="K34" s="2457"/>
      <c r="L34" s="1692"/>
      <c r="M34" s="1692"/>
      <c r="N34" s="1692"/>
      <c r="O34" s="1692"/>
      <c r="P34" s="1692"/>
      <c r="Q34" s="1692"/>
      <c r="R34" s="1692"/>
      <c r="S34" s="1692"/>
      <c r="T34" s="1692"/>
      <c r="U34" s="1692"/>
    </row>
    <row r="35" spans="1:21">
      <c r="A35" s="3229" t="s">
        <v>846</v>
      </c>
      <c r="B35" s="1720"/>
      <c r="C35" s="1774" t="str">
        <f>IF(B35="场地平整","——","具体情况：")</f>
        <v>具体情况：</v>
      </c>
      <c r="D35" s="3231"/>
      <c r="E35" s="3232"/>
      <c r="F35" s="3232"/>
      <c r="G35" s="3232"/>
      <c r="H35" s="3232"/>
      <c r="I35" s="3233"/>
      <c r="J35" s="1692"/>
      <c r="K35" s="1773"/>
      <c r="L35" s="1721"/>
      <c r="M35" s="1721"/>
      <c r="N35" s="1692"/>
      <c r="O35" s="1693"/>
      <c r="P35" s="1692"/>
      <c r="Q35" s="1692"/>
      <c r="R35" s="1692"/>
      <c r="S35" s="1692"/>
      <c r="T35" s="1692"/>
      <c r="U35" s="1692"/>
    </row>
    <row r="36" spans="1:21">
      <c r="A36" s="3225"/>
      <c r="B36" s="3234" t="s">
        <v>2056</v>
      </c>
      <c r="C36" s="3235"/>
      <c r="D36" s="1790"/>
      <c r="E36" s="3236"/>
      <c r="F36" s="3236"/>
      <c r="G36" s="1685" t="str">
        <f>IF(B35="场地未平整","估价结果处理","")</f>
        <v/>
      </c>
      <c r="H36" s="3237"/>
      <c r="I36" s="3237"/>
      <c r="J36" s="1692"/>
      <c r="K36" s="1773"/>
      <c r="L36" s="1721"/>
      <c r="M36" s="1721"/>
      <c r="N36" s="1692"/>
      <c r="O36" s="1693"/>
      <c r="P36" s="1692"/>
      <c r="Q36" s="1692"/>
      <c r="R36" s="1692"/>
      <c r="S36" s="1692"/>
      <c r="T36" s="1692"/>
      <c r="U36" s="1692"/>
    </row>
    <row r="37" spans="1:21" ht="28.5">
      <c r="A37" s="3225"/>
      <c r="B37" s="3255"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25"/>
      <c r="B38" s="3256"/>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26"/>
      <c r="B39" s="325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8" t="s">
        <v>1987</v>
      </c>
      <c r="T40" s="1729" t="str">
        <f>NUMBERSTRING(7-K40,1)&amp;"通"</f>
        <v>七通</v>
      </c>
      <c r="U40" s="1692"/>
    </row>
    <row r="41" spans="1:21">
      <c r="A41" s="1661"/>
      <c r="B41" s="3230" t="s">
        <v>1721</v>
      </c>
      <c r="C41" s="3230"/>
      <c r="D41" s="3230"/>
      <c r="E41" s="3230"/>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8"/>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24" sqref="M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2998</v>
      </c>
      <c r="J11" s="71"/>
      <c r="K11" s="3019" t="s">
        <v>3158</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3171</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3173</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7" t="s">
        <v>203</v>
      </c>
      <c r="B2" s="3277"/>
      <c r="C2" s="3277"/>
      <c r="D2" s="1974" t="s">
        <v>204</v>
      </c>
      <c r="E2" s="106" t="s">
        <v>205</v>
      </c>
      <c r="F2" s="1983"/>
      <c r="G2" s="1197"/>
      <c r="H2" s="1198"/>
      <c r="I2" s="1199" t="s">
        <v>856</v>
      </c>
      <c r="J2" s="1983"/>
      <c r="K2" s="1983"/>
      <c r="L2" s="1983"/>
    </row>
    <row r="3" spans="1:16" ht="15.75" thickBot="1">
      <c r="A3" s="3278" t="s">
        <v>206</v>
      </c>
      <c r="B3" s="3278"/>
      <c r="C3" s="3278"/>
      <c r="D3" s="107">
        <f>'数据-基础表'!AY6</f>
        <v>6614</v>
      </c>
      <c r="E3" s="107">
        <f>'数据-基础表'!AZ5</f>
        <v>7937</v>
      </c>
      <c r="F3" s="1983"/>
      <c r="G3" s="280" t="s">
        <v>857</v>
      </c>
      <c r="H3" s="275" t="s">
        <v>858</v>
      </c>
      <c r="I3" s="1975">
        <f>ROUND('数据-基础表'!B3/'数据-基础表'!A3,2)</f>
        <v>1.2</v>
      </c>
      <c r="J3" s="1983"/>
      <c r="K3" s="1983"/>
      <c r="L3" s="1983"/>
    </row>
    <row r="4" spans="1:16" ht="15">
      <c r="A4" s="3279"/>
      <c r="B4" s="3280"/>
      <c r="C4" s="3281"/>
      <c r="D4" s="108" t="s">
        <v>204</v>
      </c>
      <c r="E4" s="109" t="s">
        <v>205</v>
      </c>
      <c r="F4" s="1983"/>
      <c r="G4" s="1200"/>
      <c r="H4" s="275" t="s">
        <v>859</v>
      </c>
      <c r="I4" s="1975">
        <f>ROUND(SUMIF('数据-基础表'!I9:AS9,"地上",'数据-基础表'!I5:AS5)/'数据-基础表'!A3,2)</f>
        <v>1.2</v>
      </c>
      <c r="J4" s="1983"/>
      <c r="K4" s="1983"/>
      <c r="L4" s="1983"/>
    </row>
    <row r="5" spans="1:16">
      <c r="A5" s="110" t="s">
        <v>207</v>
      </c>
      <c r="B5" s="3282" t="s">
        <v>230</v>
      </c>
      <c r="C5" s="3282"/>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82" t="s">
        <v>208</v>
      </c>
      <c r="C6" s="3282"/>
      <c r="D6" s="111">
        <f>ROUND($D$3*E6/$E$3,2)</f>
        <v>661.65</v>
      </c>
      <c r="E6" s="112">
        <f>E3-E5</f>
        <v>794</v>
      </c>
      <c r="F6" s="1983"/>
      <c r="G6" s="1200"/>
      <c r="H6" s="275" t="s">
        <v>859</v>
      </c>
      <c r="I6" s="1975">
        <f>ROUND(F31/D31,2)</f>
        <v>1.2</v>
      </c>
      <c r="J6" s="1983"/>
      <c r="K6" s="1983"/>
      <c r="L6" s="1983"/>
    </row>
    <row r="7" spans="1:16" ht="15">
      <c r="A7" s="3274"/>
      <c r="B7" s="3275"/>
      <c r="C7" s="3276"/>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6614</v>
      </c>
      <c r="E16" s="120">
        <f>SUM(E8:E15)</f>
        <v>7937</v>
      </c>
      <c r="F16" s="1983"/>
      <c r="G16" s="1985"/>
      <c r="H16" s="968" t="s">
        <v>219</v>
      </c>
      <c r="I16" s="969"/>
      <c r="J16" s="1983"/>
      <c r="K16" s="3268" t="s">
        <v>2568</v>
      </c>
      <c r="L16" s="3269"/>
      <c r="M16" s="3269"/>
      <c r="N16" s="3269"/>
      <c r="O16" s="3269"/>
      <c r="P16" s="3270"/>
    </row>
    <row r="17" spans="1:19" ht="15">
      <c r="A17" s="121" t="s">
        <v>216</v>
      </c>
      <c r="B17" s="122" t="s">
        <v>217</v>
      </c>
      <c r="C17" s="2297" t="s">
        <v>2315</v>
      </c>
      <c r="D17" s="108" t="s">
        <v>204</v>
      </c>
      <c r="E17" s="124" t="s">
        <v>205</v>
      </c>
      <c r="F17" s="125"/>
      <c r="G17" s="1365"/>
      <c r="H17" s="970" t="s">
        <v>218</v>
      </c>
      <c r="I17" s="971" t="s">
        <v>2314</v>
      </c>
      <c r="J17" s="1983"/>
      <c r="K17" s="3271" t="s">
        <v>2569</v>
      </c>
      <c r="L17" s="3272"/>
      <c r="M17" s="3273"/>
      <c r="N17" s="3271" t="s">
        <v>2570</v>
      </c>
      <c r="O17" s="3272"/>
      <c r="P17" s="3273"/>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B19" sqref="B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t="e">
        <f ca="1">IF(AN6="",0,SUMIF(INDIRECT("'"&amp;AN6&amp;"'"&amp;"!E:E"),$AE$5,INDIRECT("'"&amp;AN6&amp;"'"&amp;"!F:F")))</f>
        <v>#REF!</v>
      </c>
      <c r="AF6" s="141"/>
      <c r="AG6" s="1212">
        <f>IF(AF6="",0,AE6-AF6)</f>
        <v>0</v>
      </c>
      <c r="AH6" s="141"/>
      <c r="AI6" s="187">
        <v>365</v>
      </c>
      <c r="AJ6" s="188"/>
      <c r="AK6" s="189">
        <v>0.02</v>
      </c>
      <c r="AL6" s="190">
        <v>2E-3</v>
      </c>
      <c r="AM6" s="3039">
        <v>0.02</v>
      </c>
      <c r="AN6" s="2391" t="s">
        <v>3159</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0.03</v>
      </c>
      <c r="W7" s="181">
        <v>0.15</v>
      </c>
      <c r="X7" s="2320"/>
      <c r="Y7" s="182"/>
      <c r="Z7" s="183"/>
      <c r="AA7" s="176"/>
      <c r="AB7" s="176"/>
      <c r="AC7" s="2323"/>
      <c r="AD7" s="184"/>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3155</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5.3000000000000005E-2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3.0000000000000001E-3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0.01</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1663</v>
      </c>
      <c r="B1" s="3284"/>
      <c r="C1" s="3284"/>
      <c r="D1" s="3284"/>
      <c r="E1" s="3284"/>
      <c r="F1" s="3284"/>
      <c r="G1" s="3284"/>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1" sqref="H21"/>
    </sheetView>
  </sheetViews>
  <sheetFormatPr defaultColWidth="14.625" defaultRowHeight="13.5"/>
  <cols>
    <col min="1" max="1" width="24.375" customWidth="1"/>
  </cols>
  <sheetData>
    <row r="1" spans="1:9" ht="16.5">
      <c r="A1" s="3045" t="s">
        <v>2846</v>
      </c>
      <c r="B1" s="3045">
        <f>SUM(B14:B23)</f>
        <v>89392</v>
      </c>
      <c r="C1" s="3046"/>
      <c r="D1" s="3046"/>
      <c r="E1" s="3046"/>
      <c r="F1" s="3046"/>
    </row>
    <row r="2" spans="1:9" ht="16.5">
      <c r="A2" s="3045" t="s">
        <v>2847</v>
      </c>
      <c r="B2" s="3045">
        <f>SUM(C14:C23)</f>
        <v>89533</v>
      </c>
      <c r="C2" s="3046"/>
      <c r="D2" s="3046"/>
      <c r="E2" s="3046"/>
      <c r="F2" s="3046"/>
    </row>
    <row r="3" spans="1:9" ht="16.5">
      <c r="A3" s="3045" t="s">
        <v>2848</v>
      </c>
      <c r="B3" s="3047">
        <f>项目基本情况!D3</f>
        <v>43334</v>
      </c>
      <c r="C3" s="3046"/>
      <c r="D3" s="3046"/>
      <c r="E3" s="3046"/>
      <c r="F3" s="3046"/>
    </row>
    <row r="4" spans="1:9" ht="33">
      <c r="A4" s="3045" t="s">
        <v>2849</v>
      </c>
      <c r="B4" s="3045" t="s">
        <v>2850</v>
      </c>
      <c r="C4" s="3045" t="s">
        <v>2851</v>
      </c>
      <c r="D4" s="3045" t="s">
        <v>2852</v>
      </c>
      <c r="E4" s="3046"/>
      <c r="F4" s="3046"/>
    </row>
    <row r="5" spans="1:9" ht="16.5">
      <c r="A5" s="3045" t="s">
        <v>2853</v>
      </c>
      <c r="B5" s="3045">
        <f ca="1">SUM(D14:D23)</f>
        <v>17339</v>
      </c>
      <c r="C5" s="3045">
        <f ca="1">ROUND(B5*10000/$B$1,0)</f>
        <v>1940</v>
      </c>
      <c r="D5" s="3045">
        <f ca="1">ROUND(B5*10000/$B$2,0)</f>
        <v>1937</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7937</v>
      </c>
      <c r="C14" s="3049">
        <f>结果表!K38</f>
        <v>6614</v>
      </c>
      <c r="D14" s="3049">
        <f ca="1">结果表!C42</f>
        <v>1842</v>
      </c>
      <c r="E14" s="3049">
        <f ca="1">ROUND(D14*10000/B14,0)</f>
        <v>2321</v>
      </c>
      <c r="F14" s="3049">
        <f ca="1">ROUND(D14*10000/C14,0)</f>
        <v>2785</v>
      </c>
      <c r="G14" s="3049" t="str">
        <f>结果表!C44</f>
        <v>——</v>
      </c>
      <c r="H14" s="3049" t="str">
        <f>结果表!C45</f>
        <v>——</v>
      </c>
      <c r="I14" s="3049" t="str">
        <f>结果表!C46</f>
        <v>——</v>
      </c>
    </row>
    <row r="15" spans="1:9" ht="16.5">
      <c r="A15" s="3052" t="s">
        <v>2863</v>
      </c>
      <c r="B15" s="3053">
        <f>[1]系统读取表!$B$14</f>
        <v>14507</v>
      </c>
      <c r="C15" s="3053">
        <f>[1]系统读取表!$C$14</f>
        <v>18134</v>
      </c>
      <c r="D15" s="3053">
        <f ca="1">[2]结果表!$C$32</f>
        <v>2712</v>
      </c>
      <c r="E15" s="3049">
        <f t="shared" ref="E15:E23" ca="1" si="2">ROUND(D15*10000/B15,0)</f>
        <v>1869</v>
      </c>
      <c r="F15" s="3049">
        <f t="shared" ref="F15:F23" ca="1" si="3">ROUND(D15*10000/C15,0)</f>
        <v>1496</v>
      </c>
      <c r="G15" s="3050"/>
      <c r="H15" s="3050"/>
      <c r="I15" s="3053"/>
    </row>
    <row r="16" spans="1:9" ht="16.5">
      <c r="A16" s="3052" t="s">
        <v>2864</v>
      </c>
      <c r="B16" s="3053">
        <f>[3]系统读取表!$B$14</f>
        <v>11508</v>
      </c>
      <c r="C16" s="3053">
        <f>[3]系统读取表!$C$14</f>
        <v>14385</v>
      </c>
      <c r="D16" s="3053">
        <f ca="1">[4]结果表!$C$32</f>
        <v>2131</v>
      </c>
      <c r="E16" s="3049">
        <f t="shared" ca="1" si="2"/>
        <v>1852</v>
      </c>
      <c r="F16" s="3049">
        <f t="shared" ca="1" si="3"/>
        <v>1481</v>
      </c>
      <c r="G16" s="3050"/>
      <c r="H16" s="3050"/>
      <c r="I16" s="3053"/>
    </row>
    <row r="17" spans="1:9" ht="16.5">
      <c r="A17" s="3052" t="s">
        <v>2865</v>
      </c>
      <c r="B17" s="3053">
        <f>[5]系统读取表!$B$14</f>
        <v>17894</v>
      </c>
      <c r="C17" s="3053">
        <f>[5]系统读取表!$C$14</f>
        <v>16267</v>
      </c>
      <c r="D17" s="3053">
        <f ca="1">[6]结果表!$C$32</f>
        <v>3476</v>
      </c>
      <c r="E17" s="3049">
        <f t="shared" ca="1" si="2"/>
        <v>1943</v>
      </c>
      <c r="F17" s="3049">
        <f t="shared" ca="1" si="3"/>
        <v>2137</v>
      </c>
      <c r="G17" s="3050"/>
      <c r="H17" s="3050"/>
      <c r="I17" s="3053"/>
    </row>
    <row r="18" spans="1:9" ht="16.5">
      <c r="A18" s="3052" t="s">
        <v>2866</v>
      </c>
      <c r="B18" s="3053">
        <f>[7]系统读取表!$B$14</f>
        <v>25013</v>
      </c>
      <c r="C18" s="3053">
        <f>[7]系统读取表!$C$14</f>
        <v>22739</v>
      </c>
      <c r="D18" s="3053">
        <f ca="1">[8]结果表!$C$32</f>
        <v>4762</v>
      </c>
      <c r="E18" s="3049">
        <f t="shared" ca="1" si="2"/>
        <v>1904</v>
      </c>
      <c r="F18" s="3049">
        <f t="shared" ca="1" si="3"/>
        <v>2094</v>
      </c>
      <c r="G18" s="3053"/>
      <c r="H18" s="3053"/>
      <c r="I18" s="3053"/>
    </row>
    <row r="19" spans="1:9" ht="16.5">
      <c r="A19" s="3052" t="s">
        <v>2867</v>
      </c>
      <c r="B19" s="3053">
        <f>[9]系统读取表!$B$14</f>
        <v>12533</v>
      </c>
      <c r="C19" s="3053">
        <f>[9]系统读取表!$C$14</f>
        <v>11394</v>
      </c>
      <c r="D19" s="3053">
        <f ca="1">[10]结果表!$C$32</f>
        <v>2416</v>
      </c>
      <c r="E19" s="3049">
        <f t="shared" ca="1" si="2"/>
        <v>1928</v>
      </c>
      <c r="F19" s="3049">
        <f t="shared" ca="1" si="3"/>
        <v>2120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M26" sqref="M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21" t="str">
        <f>项目基本情况!K2</f>
        <v>出让国有建设用地使用权</v>
      </c>
      <c r="B2" s="3322"/>
      <c r="C2" s="3323"/>
      <c r="D2" s="3323"/>
      <c r="E2" s="3323"/>
      <c r="F2" s="3323"/>
      <c r="G2" s="3322"/>
      <c r="H2" s="3322"/>
      <c r="I2" s="3324"/>
      <c r="J2" s="2029"/>
      <c r="K2" s="2028"/>
      <c r="L2" s="2028"/>
      <c r="M2" s="2028"/>
      <c r="N2" s="2028"/>
      <c r="O2" s="2028"/>
      <c r="P2" s="2028"/>
      <c r="Q2" s="2028"/>
      <c r="R2" s="2028"/>
      <c r="S2" s="2028"/>
      <c r="T2" s="2028"/>
      <c r="U2" s="2028"/>
      <c r="V2" s="2028"/>
    </row>
    <row r="3" spans="1:22" ht="14.25">
      <c r="A3" s="3314" t="s">
        <v>298</v>
      </c>
      <c r="B3" s="3315"/>
      <c r="C3" s="3315"/>
      <c r="D3" s="3315"/>
      <c r="E3" s="3315"/>
      <c r="F3" s="3315"/>
      <c r="G3" s="3315"/>
      <c r="H3" s="3315"/>
      <c r="I3" s="3315"/>
      <c r="J3" s="2029"/>
      <c r="K3" s="2028"/>
      <c r="L3" s="2028"/>
      <c r="M3" s="2028"/>
      <c r="N3" s="2028"/>
      <c r="O3" s="2028"/>
      <c r="P3" s="2028"/>
      <c r="Q3" s="2028"/>
      <c r="R3" s="2028"/>
      <c r="S3" s="2028"/>
      <c r="T3" s="2028"/>
      <c r="U3" s="2028"/>
      <c r="V3" s="2028"/>
    </row>
    <row r="4" spans="1:22" ht="14.25">
      <c r="A4" s="258" t="s">
        <v>299</v>
      </c>
      <c r="B4" s="259" t="s">
        <v>300</v>
      </c>
      <c r="C4" s="260" t="s">
        <v>3149</v>
      </c>
      <c r="D4" s="260" t="s">
        <v>3148</v>
      </c>
      <c r="E4" s="3286" t="s">
        <v>301</v>
      </c>
      <c r="F4" s="3287"/>
      <c r="G4" s="3287"/>
      <c r="H4" s="3287"/>
      <c r="I4" s="331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5" t="s">
        <v>302</v>
      </c>
      <c r="B5" s="3311">
        <v>25</v>
      </c>
      <c r="C5" s="3309"/>
      <c r="D5" s="3313"/>
      <c r="E5" s="261" t="s">
        <v>303</v>
      </c>
      <c r="F5" s="262"/>
      <c r="G5" s="262"/>
      <c r="H5" s="262"/>
      <c r="I5" s="263"/>
      <c r="J5" s="2029"/>
      <c r="K5" s="2028"/>
      <c r="L5" s="2028"/>
      <c r="M5" s="2028"/>
      <c r="N5" s="2028"/>
      <c r="O5" s="2028"/>
      <c r="P5" s="2028"/>
      <c r="Q5" s="2028"/>
      <c r="R5" s="2028"/>
      <c r="S5" s="2028"/>
      <c r="T5" s="2028"/>
      <c r="U5" s="2028"/>
      <c r="V5" s="2028"/>
    </row>
    <row r="6" spans="1:22" ht="14.25">
      <c r="A6" s="3285"/>
      <c r="B6" s="3311"/>
      <c r="C6" s="3312"/>
      <c r="D6" s="3313"/>
      <c r="E6" s="261" t="s">
        <v>304</v>
      </c>
      <c r="F6" s="262"/>
      <c r="G6" s="262"/>
      <c r="H6" s="262"/>
      <c r="I6" s="263"/>
      <c r="J6" s="2029"/>
      <c r="K6" s="2028"/>
      <c r="L6" s="2028"/>
      <c r="M6" s="2028"/>
      <c r="N6" s="2028"/>
      <c r="O6" s="2028"/>
      <c r="P6" s="2028"/>
      <c r="Q6" s="2028"/>
      <c r="R6" s="2028"/>
      <c r="S6" s="2028"/>
      <c r="T6" s="2028"/>
      <c r="U6" s="2028"/>
      <c r="V6" s="2028"/>
    </row>
    <row r="7" spans="1:22" ht="14.25">
      <c r="A7" s="3285"/>
      <c r="B7" s="3311"/>
      <c r="C7" s="3310"/>
      <c r="D7" s="3313"/>
      <c r="E7" s="261" t="s">
        <v>305</v>
      </c>
      <c r="F7" s="262"/>
      <c r="G7" s="262"/>
      <c r="H7" s="262"/>
      <c r="I7" s="263"/>
      <c r="J7" s="2029"/>
      <c r="K7" s="2028"/>
      <c r="L7" s="2028"/>
      <c r="M7" s="2028"/>
      <c r="N7" s="2028"/>
      <c r="O7" s="2028"/>
      <c r="P7" s="2028"/>
      <c r="Q7" s="2028"/>
      <c r="R7" s="2028"/>
      <c r="S7" s="2028"/>
      <c r="T7" s="2028"/>
      <c r="U7" s="2028"/>
      <c r="V7" s="2028"/>
    </row>
    <row r="8" spans="1:22" ht="14.25">
      <c r="A8" s="3285" t="s">
        <v>306</v>
      </c>
      <c r="B8" s="3311">
        <v>15</v>
      </c>
      <c r="C8" s="3309"/>
      <c r="D8" s="3313"/>
      <c r="E8" s="261" t="s">
        <v>307</v>
      </c>
      <c r="F8" s="262"/>
      <c r="G8" s="262"/>
      <c r="H8" s="262"/>
      <c r="I8" s="263"/>
      <c r="J8" s="2029"/>
      <c r="K8" s="2028"/>
      <c r="L8" s="2028"/>
      <c r="M8" s="2028"/>
      <c r="N8" s="2028"/>
      <c r="O8" s="2028"/>
      <c r="P8" s="2028"/>
      <c r="Q8" s="2028"/>
      <c r="R8" s="2028"/>
      <c r="S8" s="2028"/>
      <c r="T8" s="2028"/>
      <c r="U8" s="2028"/>
      <c r="V8" s="2028"/>
    </row>
    <row r="9" spans="1:22" ht="14.25">
      <c r="A9" s="3285"/>
      <c r="B9" s="3311"/>
      <c r="C9" s="3310"/>
      <c r="D9" s="3313"/>
      <c r="E9" s="261" t="s">
        <v>308</v>
      </c>
      <c r="F9" s="262"/>
      <c r="G9" s="262"/>
      <c r="H9" s="262"/>
      <c r="I9" s="263"/>
      <c r="J9" s="2029"/>
      <c r="K9" s="2028"/>
      <c r="L9" s="2028"/>
      <c r="M9" s="2028"/>
      <c r="N9" s="2028"/>
      <c r="O9" s="2028"/>
      <c r="P9" s="2028"/>
      <c r="Q9" s="2028"/>
      <c r="R9" s="2028"/>
      <c r="S9" s="2028"/>
      <c r="T9" s="2028"/>
      <c r="U9" s="2028"/>
      <c r="V9" s="2028"/>
    </row>
    <row r="10" spans="1:22" ht="14.25">
      <c r="A10" s="3285" t="s">
        <v>309</v>
      </c>
      <c r="B10" s="3311">
        <v>15</v>
      </c>
      <c r="C10" s="3309"/>
      <c r="D10" s="3313"/>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5"/>
      <c r="B11" s="3311"/>
      <c r="C11" s="3310"/>
      <c r="D11" s="3313"/>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5" t="s">
        <v>312</v>
      </c>
      <c r="B12" s="3311">
        <v>15</v>
      </c>
      <c r="C12" s="3309"/>
      <c r="D12" s="3313"/>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5"/>
      <c r="B13" s="3311"/>
      <c r="C13" s="3310"/>
      <c r="D13" s="3313"/>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5" t="s">
        <v>315</v>
      </c>
      <c r="B14" s="3311">
        <v>30</v>
      </c>
      <c r="C14" s="3309">
        <v>6</v>
      </c>
      <c r="D14" s="3313">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5"/>
      <c r="B15" s="3311"/>
      <c r="C15" s="3312"/>
      <c r="D15" s="3313"/>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5"/>
      <c r="B16" s="3311"/>
      <c r="C16" s="3310"/>
      <c r="D16" s="331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1148</v>
      </c>
      <c r="D19" s="271">
        <f ca="1">SUMIF(INDIRECT("'"&amp;D4&amp;"'"&amp;"!A:A"),结果表!B19,INDIRECT("'"&amp;D4&amp;"'"&amp;"!B:B"))</f>
        <v>4205</v>
      </c>
      <c r="E19" s="268" t="s">
        <v>323</v>
      </c>
      <c r="F19" s="269" t="s">
        <v>322</v>
      </c>
      <c r="G19" s="272">
        <f ca="1">ROUND(C19*$C$18+D19*$D$18,0)</f>
        <v>2371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1446</v>
      </c>
      <c r="D20" s="277">
        <f ca="1">SUMIF(INDIRECT("'"&amp;D4&amp;"'"&amp;"!A:A"),结果表!B20,INDIRECT("'"&amp;D4&amp;"'"&amp;"!B:B"))</f>
        <v>5298</v>
      </c>
      <c r="E20" s="274"/>
      <c r="F20" s="275" t="s">
        <v>325</v>
      </c>
      <c r="G20" s="278">
        <f ca="1">ROUND(C20*$C$18+D20*$D$18,0)</f>
        <v>2987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1736</v>
      </c>
      <c r="D21" s="151">
        <f ca="1">SUMIF(INDIRECT("'"&amp;D4&amp;"'"&amp;"!A:A"),结果表!B21,INDIRECT("'"&amp;D4&amp;"'"&amp;"!B:B"))</f>
        <v>6358</v>
      </c>
      <c r="E21" s="274"/>
      <c r="F21" s="280" t="s">
        <v>327</v>
      </c>
      <c r="G21" s="282">
        <f ca="1">ROUND(C21*$C$18+D21*$D$18,0)</f>
        <v>3585</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2.6628919860627178</v>
      </c>
      <c r="E22" s="284"/>
      <c r="F22" s="285"/>
      <c r="G22" s="286">
        <f ca="1">ROUND(G19/('数据-汇总表'!D3/666.67),0)</f>
        <v>239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1"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2"/>
      <c r="B25" s="1320" t="s">
        <v>3175</v>
      </c>
      <c r="C25" s="290">
        <f>IF(B30=0,0,C30)</f>
        <v>0</v>
      </c>
      <c r="D25" s="291"/>
      <c r="E25" s="311"/>
      <c r="F25" s="311"/>
      <c r="G25" s="311"/>
      <c r="H25" s="311"/>
      <c r="I25" s="311"/>
      <c r="J25" s="2028"/>
      <c r="K25" s="1254" t="str">
        <f ca="1">项目基本情况!B16&amp;"国有建设用地使用权价格："&amp;O38&amp;"万元"</f>
        <v>出让国有建设用地使用权价格：1842万元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大写金额：人民币壹仟捌佰肆拾贰万元整</v>
      </c>
      <c r="L26" s="1251"/>
      <c r="M26" s="1251"/>
      <c r="N26" s="1251"/>
      <c r="O26" s="1250"/>
      <c r="P26" s="2028"/>
      <c r="Q26" s="2028"/>
      <c r="R26" s="2028"/>
      <c r="S26" s="2028"/>
      <c r="T26" s="2028"/>
      <c r="U26" s="2028"/>
      <c r="V26" s="2028"/>
      <c r="W26" s="292"/>
      <c r="X26" s="292"/>
      <c r="Y26" s="292"/>
      <c r="Z26" s="292"/>
    </row>
    <row r="27" spans="1:26" ht="18">
      <c r="A27" s="293"/>
      <c r="B27" s="294">
        <f>'数据-基础表'!A3</f>
        <v>6614</v>
      </c>
      <c r="C27" s="294">
        <v>800</v>
      </c>
      <c r="D27" s="295">
        <f>ROUND(B27*C27/10000,0)</f>
        <v>529</v>
      </c>
      <c r="E27" s="311"/>
      <c r="F27" s="311"/>
      <c r="G27" s="311"/>
      <c r="H27" s="311"/>
      <c r="I27" s="311"/>
      <c r="J27" s="2028"/>
      <c r="K27" s="1257" t="str">
        <f ca="1">"单位面积地价："&amp;M38&amp;"元/平方米"</f>
        <v>单位面积地价：2785元/平方米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楼面地价：2321元/平方米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1842</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2321</v>
      </c>
      <c r="D33" s="1384" t="s">
        <v>1691</v>
      </c>
      <c r="E33" s="3291"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2785</v>
      </c>
      <c r="D34" s="1386" t="s">
        <v>1691</v>
      </c>
      <c r="E34" s="3332"/>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186</v>
      </c>
      <c r="D35" s="1389" t="s">
        <v>1693</v>
      </c>
      <c r="E35" s="3333"/>
      <c r="F35" s="301" t="s">
        <v>341</v>
      </c>
      <c r="G35" s="981"/>
      <c r="H35" s="980" t="s">
        <v>342</v>
      </c>
      <c r="I35" s="311"/>
      <c r="J35" s="2028"/>
      <c r="K35" s="3306" t="s">
        <v>349</v>
      </c>
      <c r="L35" s="3306" t="s">
        <v>350</v>
      </c>
      <c r="M35" s="1263" t="s">
        <v>351</v>
      </c>
      <c r="N35" s="3306" t="s">
        <v>352</v>
      </c>
      <c r="O35" s="3306" t="s">
        <v>353</v>
      </c>
      <c r="P35" s="2028"/>
      <c r="V35" s="2028"/>
    </row>
    <row r="36" spans="1:26" ht="16.5" customHeight="1">
      <c r="A36" s="303" t="s">
        <v>343</v>
      </c>
      <c r="B36" s="304" t="s">
        <v>332</v>
      </c>
      <c r="C36" s="305" t="s">
        <v>344</v>
      </c>
      <c r="D36" s="305" t="s">
        <v>345</v>
      </c>
      <c r="E36" s="306" t="s">
        <v>346</v>
      </c>
      <c r="F36" s="311"/>
      <c r="G36" s="311"/>
      <c r="H36" s="311"/>
      <c r="I36" s="311"/>
      <c r="J36" s="2030"/>
      <c r="K36" s="3307"/>
      <c r="L36" s="3307"/>
      <c r="M36" s="1265" t="s">
        <v>354</v>
      </c>
      <c r="N36" s="3307"/>
      <c r="O36" s="3307"/>
      <c r="P36" s="2028"/>
      <c r="V36" s="2028"/>
    </row>
    <row r="37" spans="1:26" ht="16.5" customHeight="1" thickBot="1">
      <c r="A37" s="1259" t="s">
        <v>347</v>
      </c>
      <c r="B37" s="307"/>
      <c r="C37" s="294"/>
      <c r="D37" s="294"/>
      <c r="E37" s="295"/>
      <c r="F37" s="311"/>
      <c r="G37" s="311"/>
      <c r="H37" s="311"/>
      <c r="I37" s="311"/>
      <c r="J37" s="2030"/>
      <c r="K37" s="3308"/>
      <c r="L37" s="3308"/>
      <c r="M37" s="1266"/>
      <c r="N37" s="3308"/>
      <c r="O37" s="3308"/>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2785</v>
      </c>
      <c r="N38" s="1268">
        <f ca="1">C33</f>
        <v>2321</v>
      </c>
      <c r="O38" s="1269">
        <f ca="1">C32</f>
        <v>1842</v>
      </c>
      <c r="P38" s="2028"/>
      <c r="V38" s="2028"/>
    </row>
    <row r="39" spans="1:26" ht="16.5" customHeight="1" thickBot="1">
      <c r="A39" s="1264"/>
      <c r="B39" s="308"/>
      <c r="C39" s="309"/>
      <c r="D39" s="309"/>
      <c r="E39" s="310"/>
      <c r="F39" s="311"/>
      <c r="G39" s="311"/>
      <c r="H39" s="311"/>
      <c r="I39" s="311"/>
      <c r="J39" s="2030"/>
      <c r="K39" s="3351" t="str">
        <f>MID(A44,3,LEN(A44)-2)</f>
        <v/>
      </c>
      <c r="L39" s="3352"/>
      <c r="M39" s="3352"/>
      <c r="N39" s="3353"/>
      <c r="O39" s="1391" t="str">
        <f>C44</f>
        <v>——</v>
      </c>
      <c r="P39" s="2028"/>
      <c r="V39" s="2028"/>
    </row>
    <row r="40" spans="1:26" ht="19.5" thickBot="1">
      <c r="A40" s="104" t="s">
        <v>872</v>
      </c>
      <c r="B40" s="311"/>
      <c r="C40" s="311"/>
      <c r="D40" s="311"/>
      <c r="E40" s="311"/>
      <c r="F40" s="311"/>
      <c r="G40" s="311"/>
      <c r="H40" s="311"/>
      <c r="I40" s="311"/>
      <c r="J40" s="2030"/>
      <c r="K40" s="3351" t="str">
        <f t="shared" ref="K40:K41" si="0">MID(A45,3,LEN(A45)-2)</f>
        <v/>
      </c>
      <c r="L40" s="3352"/>
      <c r="M40" s="3352"/>
      <c r="N40" s="3353"/>
      <c r="O40" s="1391" t="str">
        <f>C45</f>
        <v>——</v>
      </c>
      <c r="P40" s="2028"/>
      <c r="V40" s="2028"/>
    </row>
    <row r="41" spans="1:26" ht="16.5" thickBot="1">
      <c r="A41" s="312" t="s">
        <v>355</v>
      </c>
      <c r="B41" s="313"/>
      <c r="C41" s="314" t="s">
        <v>356</v>
      </c>
      <c r="D41" s="315" t="s">
        <v>357</v>
      </c>
      <c r="E41" s="315" t="s">
        <v>358</v>
      </c>
      <c r="F41" s="316" t="s">
        <v>359</v>
      </c>
      <c r="G41" s="311"/>
      <c r="H41" s="311"/>
      <c r="I41" s="311"/>
      <c r="J41" s="2030"/>
      <c r="K41" s="3351" t="str">
        <f t="shared" si="0"/>
        <v/>
      </c>
      <c r="L41" s="3352"/>
      <c r="M41" s="3352"/>
      <c r="N41" s="3353"/>
      <c r="O41" s="1391" t="str">
        <f>C46</f>
        <v>——</v>
      </c>
      <c r="P41" s="2028"/>
      <c r="V41" s="2028"/>
    </row>
    <row r="42" spans="1:26" ht="29.25">
      <c r="A42" s="3293" t="s">
        <v>2069</v>
      </c>
      <c r="B42" s="3294"/>
      <c r="C42" s="264">
        <f ca="1">C32</f>
        <v>1842</v>
      </c>
      <c r="D42" s="317">
        <f ca="1">C33</f>
        <v>2321</v>
      </c>
      <c r="E42" s="317">
        <f ca="1">C34</f>
        <v>2785</v>
      </c>
      <c r="F42" s="318">
        <f ca="1">C35</f>
        <v>186</v>
      </c>
      <c r="G42" s="311"/>
      <c r="H42" s="311"/>
      <c r="I42" s="319"/>
      <c r="J42" s="2030"/>
      <c r="K42" s="1270" t="s">
        <v>360</v>
      </c>
      <c r="L42" s="2047" t="s">
        <v>361</v>
      </c>
      <c r="M42" s="1271" t="s">
        <v>362</v>
      </c>
      <c r="N42" s="2048" t="s">
        <v>363</v>
      </c>
      <c r="O42" s="2049" t="s">
        <v>364</v>
      </c>
      <c r="P42" s="2028"/>
      <c r="V42" s="2028"/>
    </row>
    <row r="43" spans="1:26" ht="30">
      <c r="A43" s="3304" t="s">
        <v>2732</v>
      </c>
      <c r="B43" s="3305"/>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1148</v>
      </c>
      <c r="M43" s="1274">
        <f>C18</f>
        <v>0.6</v>
      </c>
      <c r="N43" s="1275">
        <f ca="1">IF(N42="测算结果/万元",G19,G20)</f>
        <v>2371</v>
      </c>
      <c r="O43" s="1276">
        <f ca="1">IF(O42="最终结果/万元",C32,C33)</f>
        <v>1842</v>
      </c>
      <c r="P43" s="2028"/>
      <c r="V43" s="2028"/>
    </row>
    <row r="44" spans="1:26" ht="30.75" thickBot="1">
      <c r="A44" s="3293" t="str">
        <f>IF(OR(项目基本情况!E8="抵押价格",项目基本情况!E8="已注销及未注销"),"3.抵押价格","——")</f>
        <v>——</v>
      </c>
      <c r="B44" s="3294"/>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4205</v>
      </c>
      <c r="M44" s="1279">
        <f>D18</f>
        <v>0.4</v>
      </c>
      <c r="N44" s="1280"/>
      <c r="O44" s="1281"/>
      <c r="P44" s="2028"/>
      <c r="V44" s="2028"/>
    </row>
    <row r="45" spans="1:26" ht="15">
      <c r="A45" s="3299" t="str">
        <f>IF(项目基本情况!E8="已注销及未注销","4.抵押担保权已注销时的抵押价格",IF(项目基本情况!E8="已注销","3.抵押担保权已注销时的抵押价格","——"))</f>
        <v>——</v>
      </c>
      <c r="B45" s="330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0" t="s">
        <v>373</v>
      </c>
      <c r="B63" s="3341"/>
      <c r="C63" s="3342"/>
      <c r="D63" s="341">
        <f ca="1">ROUND(C42*F63,0)</f>
        <v>1105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01" t="s">
        <v>377</v>
      </c>
      <c r="B64" s="3302"/>
      <c r="C64" s="3302"/>
      <c r="D64" s="3302"/>
      <c r="E64" s="3302"/>
      <c r="F64" s="3302"/>
      <c r="G64" s="3303"/>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297" t="s">
        <v>385</v>
      </c>
      <c r="B66" s="3298"/>
      <c r="C66" s="3298"/>
      <c r="D66" s="261">
        <f ca="1">IF(H66="情况1",0,IF(H66="情况2",D70,IF(H66="情况3",D71,IF(H66="情况4",D72))))</f>
        <v>56</v>
      </c>
      <c r="E66" s="992" t="str">
        <f>IF(H66="情况4","(销售额-原购置价)×税（费）率","销售额×税（费）率")</f>
        <v>销售额×税（费）率</v>
      </c>
      <c r="F66" s="350">
        <f>IF(H66="情况1","免征",'数据-取费表'!B41)</f>
        <v>5.3000000000000005E-2</v>
      </c>
      <c r="G66" s="351" t="s">
        <v>386</v>
      </c>
      <c r="H66" s="191" t="s">
        <v>387</v>
      </c>
      <c r="I66" s="1287"/>
      <c r="J66" s="2034"/>
      <c r="K66" s="1290">
        <v>1</v>
      </c>
      <c r="L66" s="3355" t="s">
        <v>384</v>
      </c>
      <c r="M66" s="3356"/>
      <c r="N66" s="2458"/>
      <c r="O66" s="2459"/>
      <c r="P66" s="2460"/>
      <c r="Q66" s="2028"/>
      <c r="R66" s="2028"/>
      <c r="S66" s="2028"/>
      <c r="T66" s="2028"/>
      <c r="U66" s="2028"/>
      <c r="V66" s="2028"/>
    </row>
    <row r="67" spans="1:22" ht="25.5" customHeight="1">
      <c r="A67" s="352" t="s">
        <v>389</v>
      </c>
      <c r="B67" s="3288" t="s">
        <v>390</v>
      </c>
      <c r="C67" s="3288"/>
      <c r="D67" s="353">
        <v>0</v>
      </c>
      <c r="E67" s="41" t="s">
        <v>391</v>
      </c>
      <c r="F67" s="62" t="s">
        <v>21</v>
      </c>
      <c r="G67" s="3343"/>
      <c r="H67" s="311"/>
      <c r="I67" s="1291"/>
      <c r="J67" s="2035"/>
      <c r="K67" s="1976">
        <v>2</v>
      </c>
      <c r="L67" s="3354" t="s">
        <v>388</v>
      </c>
      <c r="M67" s="3354"/>
      <c r="N67" s="1324">
        <f>'数据-取费表'!B2</f>
        <v>43334</v>
      </c>
      <c r="O67" s="1324"/>
      <c r="P67" s="1324"/>
      <c r="Q67" s="2028"/>
      <c r="R67" s="2028"/>
      <c r="S67" s="2028"/>
      <c r="T67" s="2028"/>
      <c r="U67" s="2028"/>
      <c r="V67" s="2028"/>
    </row>
    <row r="68" spans="1:22" ht="25.5" customHeight="1">
      <c r="A68" s="354"/>
      <c r="B68" s="3288" t="s">
        <v>393</v>
      </c>
      <c r="C68" s="3288"/>
      <c r="D68" s="355"/>
      <c r="E68" s="77"/>
      <c r="F68" s="356"/>
      <c r="G68" s="3344"/>
      <c r="H68" s="311"/>
      <c r="I68" s="1291"/>
      <c r="J68" s="2035"/>
      <c r="K68" s="1976">
        <v>3</v>
      </c>
      <c r="L68" s="3354" t="s">
        <v>392</v>
      </c>
      <c r="M68" s="3354"/>
      <c r="N68" s="1292">
        <f ca="1">C42</f>
        <v>1842</v>
      </c>
      <c r="O68" s="1292"/>
      <c r="P68" s="1292"/>
      <c r="Q68" s="2028"/>
      <c r="R68" s="2028"/>
      <c r="S68" s="2028"/>
      <c r="T68" s="2028"/>
      <c r="U68" s="2028"/>
      <c r="V68" s="2028"/>
    </row>
    <row r="69" spans="1:22" ht="12" customHeight="1">
      <c r="A69" s="357"/>
      <c r="B69" s="3288" t="s">
        <v>394</v>
      </c>
      <c r="C69" s="3288"/>
      <c r="D69" s="358"/>
      <c r="E69" s="73"/>
      <c r="F69" s="356"/>
      <c r="G69" s="3345"/>
      <c r="H69" s="311"/>
      <c r="I69" s="1291"/>
      <c r="J69" s="2035"/>
      <c r="K69" s="1293">
        <v>4</v>
      </c>
      <c r="L69" s="3359" t="s">
        <v>2885</v>
      </c>
      <c r="M69" s="3360"/>
      <c r="N69" s="1294" t="str">
        <f>C44</f>
        <v>——</v>
      </c>
      <c r="O69" s="1294"/>
      <c r="P69" s="1294"/>
      <c r="Q69" s="2028"/>
      <c r="R69" s="2028"/>
      <c r="S69" s="2028"/>
      <c r="T69" s="2028"/>
      <c r="U69" s="2028"/>
      <c r="V69" s="2028"/>
    </row>
    <row r="70" spans="1:22" ht="24" customHeight="1">
      <c r="A70" s="359" t="s">
        <v>395</v>
      </c>
      <c r="B70" s="3288" t="s">
        <v>396</v>
      </c>
      <c r="C70" s="3288"/>
      <c r="D70" s="358">
        <f ca="1">ROUND(D63*'数据-取费表'!B41/(1+'数据-取费表'!C42),0)</f>
        <v>56</v>
      </c>
      <c r="E70" s="17" t="s">
        <v>397</v>
      </c>
      <c r="F70" s="360">
        <f>'数据-取费表'!B41</f>
        <v>5.3000000000000005E-2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289" t="s">
        <v>404</v>
      </c>
      <c r="C71" s="3290"/>
      <c r="D71" s="358">
        <f ca="1">ROUND(D63*'数据-取费表'!B41/(1+'数据-取费表'!C42),0)</f>
        <v>56</v>
      </c>
      <c r="E71" s="17" t="s">
        <v>397</v>
      </c>
      <c r="F71" s="360">
        <f>'数据-取费表'!B41</f>
        <v>5.3000000000000005E-2</v>
      </c>
      <c r="G71" s="361"/>
      <c r="H71" s="311"/>
      <c r="I71" s="1291"/>
      <c r="J71" s="2035"/>
      <c r="K71" s="3061" t="s">
        <v>398</v>
      </c>
      <c r="L71" s="3361" t="s">
        <v>399</v>
      </c>
      <c r="M71" s="3361"/>
      <c r="N71" s="3061" t="s">
        <v>400</v>
      </c>
      <c r="O71" s="3061" t="s">
        <v>401</v>
      </c>
      <c r="P71" s="3061" t="s">
        <v>402</v>
      </c>
      <c r="Q71" s="2028"/>
      <c r="R71" s="2028"/>
      <c r="S71" s="2028"/>
      <c r="T71" s="2028"/>
      <c r="U71" s="2028"/>
      <c r="V71" s="2028"/>
    </row>
    <row r="72" spans="1:22" ht="12" customHeight="1">
      <c r="A72" s="359" t="s">
        <v>406</v>
      </c>
      <c r="B72" s="3289" t="s">
        <v>407</v>
      </c>
      <c r="C72" s="3290"/>
      <c r="D72" s="358">
        <f ca="1">C86</f>
        <v>0</v>
      </c>
      <c r="E72" s="73" t="s">
        <v>408</v>
      </c>
      <c r="F72" s="360">
        <f>'数据-取费表'!B41</f>
        <v>5.3000000000000005E-2</v>
      </c>
      <c r="G72" s="361"/>
      <c r="H72" s="1297"/>
      <c r="I72" s="1291"/>
      <c r="J72" s="2035"/>
      <c r="K72" s="1976">
        <v>1</v>
      </c>
      <c r="L72" s="3336" t="s">
        <v>405</v>
      </c>
      <c r="M72" s="3336"/>
      <c r="N72" s="1295">
        <f ca="1">D66</f>
        <v>56</v>
      </c>
      <c r="O72" s="1859" t="str">
        <f>E66</f>
        <v>销售额×税（费）率</v>
      </c>
      <c r="P72" s="1296">
        <f>F66</f>
        <v>5.3000000000000005E-2</v>
      </c>
      <c r="Q72" s="2028"/>
      <c r="R72" s="2028"/>
      <c r="S72" s="2028"/>
      <c r="T72" s="2028"/>
      <c r="U72" s="2028"/>
      <c r="V72" s="2028"/>
    </row>
    <row r="73" spans="1:22" ht="24" customHeight="1">
      <c r="A73" s="3330" t="s">
        <v>410</v>
      </c>
      <c r="B73" s="3298"/>
      <c r="C73" s="3298"/>
      <c r="D73" s="362">
        <f>IF(H73="个人住宅",0,ROUND(D63*I73,0))</f>
        <v>0</v>
      </c>
      <c r="E73" s="17" t="s">
        <v>411</v>
      </c>
      <c r="F73" s="360" t="str">
        <f>IF(H73="正常",I73,"免征")</f>
        <v>免征</v>
      </c>
      <c r="G73" s="361"/>
      <c r="H73" s="191" t="s">
        <v>2457</v>
      </c>
      <c r="I73" s="360">
        <f>'数据-取费表'!B49</f>
        <v>5.0000000000000001E-4</v>
      </c>
      <c r="J73" s="2035"/>
      <c r="K73" s="1976">
        <v>2</v>
      </c>
      <c r="L73" s="3336" t="s">
        <v>409</v>
      </c>
      <c r="M73" s="3336"/>
      <c r="N73" s="1295">
        <f t="shared" ref="N73:P74" si="1">D73</f>
        <v>0</v>
      </c>
      <c r="O73" s="1859" t="str">
        <f t="shared" si="1"/>
        <v>销售额×税（费）率</v>
      </c>
      <c r="P73" s="1296" t="str">
        <f t="shared" si="1"/>
        <v>免征</v>
      </c>
      <c r="Q73" s="2028"/>
      <c r="R73" s="2028"/>
      <c r="S73" s="2028"/>
      <c r="T73" s="2028"/>
      <c r="U73" s="2028"/>
      <c r="V73" s="2028"/>
    </row>
    <row r="74" spans="1:22" ht="24.75">
      <c r="A74" s="3330" t="s">
        <v>414</v>
      </c>
      <c r="B74" s="3298"/>
      <c r="C74" s="3298"/>
      <c r="D74" s="362">
        <f ca="1">IF(H74="个人住宅",D75,D76)</f>
        <v>109</v>
      </c>
      <c r="E74" s="17" t="s">
        <v>415</v>
      </c>
      <c r="F74" s="360" t="str">
        <f>IF(H74="正常",F76,"免征")</f>
        <v>——</v>
      </c>
      <c r="G74" s="982" t="s">
        <v>416</v>
      </c>
      <c r="H74" s="363" t="s">
        <v>412</v>
      </c>
      <c r="I74" s="42"/>
      <c r="J74" s="2035"/>
      <c r="K74" s="1976">
        <v>3</v>
      </c>
      <c r="L74" s="3336" t="s">
        <v>413</v>
      </c>
      <c r="M74" s="3336"/>
      <c r="N74" s="1295">
        <f t="shared" ca="1" si="1"/>
        <v>109</v>
      </c>
      <c r="O74" s="1859" t="str">
        <f t="shared" si="1"/>
        <v>增值额×税（费）率</v>
      </c>
      <c r="P74" s="1298" t="str">
        <f t="shared" si="1"/>
        <v>——</v>
      </c>
      <c r="Q74" s="2028"/>
      <c r="R74" s="2028"/>
      <c r="S74" s="2028"/>
      <c r="T74" s="2028"/>
      <c r="U74" s="2028"/>
      <c r="V74" s="2028"/>
    </row>
    <row r="75" spans="1:22" ht="24">
      <c r="A75" s="359" t="s">
        <v>417</v>
      </c>
      <c r="B75" s="3286" t="s">
        <v>418</v>
      </c>
      <c r="C75" s="3316"/>
      <c r="D75" s="364">
        <v>0</v>
      </c>
      <c r="E75" s="41" t="s">
        <v>419</v>
      </c>
      <c r="F75" s="365"/>
      <c r="G75" s="361"/>
      <c r="H75" s="42"/>
      <c r="I75" s="42"/>
      <c r="J75" s="2035"/>
      <c r="K75" s="3054">
        <f>IF(H77="非个人房产","",4)</f>
        <v>4</v>
      </c>
      <c r="L75" s="3336" t="str">
        <f>IF(H77="非个人房产","——","个人所得税")</f>
        <v>个人所得税</v>
      </c>
      <c r="M75" s="3336"/>
      <c r="N75" s="1299">
        <f ca="1">D77</f>
        <v>11</v>
      </c>
      <c r="O75" s="1872" t="str">
        <f>E77</f>
        <v>销售额×税（费）率</v>
      </c>
      <c r="P75" s="1300">
        <f>F77</f>
        <v>0.01</v>
      </c>
      <c r="Q75" s="2028"/>
      <c r="R75" s="2028"/>
      <c r="S75" s="2028"/>
      <c r="T75" s="2028"/>
      <c r="U75" s="2028"/>
      <c r="V75" s="2028"/>
    </row>
    <row r="76" spans="1:22" ht="24.75">
      <c r="A76" s="359" t="s">
        <v>395</v>
      </c>
      <c r="B76" s="3286" t="s">
        <v>421</v>
      </c>
      <c r="C76" s="3287"/>
      <c r="D76" s="362">
        <f ca="1">IF(H76="转让取得",C99,C115)</f>
        <v>109</v>
      </c>
      <c r="E76" s="17" t="s">
        <v>422</v>
      </c>
      <c r="F76" s="53" t="s">
        <v>21</v>
      </c>
      <c r="G76" s="361"/>
      <c r="H76" s="363" t="s">
        <v>423</v>
      </c>
      <c r="I76" s="42"/>
      <c r="J76" s="2035"/>
      <c r="K76" s="3054" t="str">
        <f>IF(项目基本情况!K6="上海银行",IF(K75="",4,K75+1),"")</f>
        <v/>
      </c>
      <c r="L76" s="3347" t="str">
        <f>IF(项目基本情况!K6="上海银行","其他处置费用","")</f>
        <v/>
      </c>
      <c r="M76" s="3348"/>
      <c r="N76" s="1295" t="str">
        <f>IF(项目基本情况!K6="上海银行",N89,"")</f>
        <v/>
      </c>
      <c r="O76" s="3349" t="str">
        <f>IF(项目基本情况!K6="上海银行","包含处置中涉及的律师、诉讼、拍卖、评估等费用","")</f>
        <v/>
      </c>
      <c r="P76" s="3350"/>
      <c r="Q76" s="2028"/>
      <c r="R76" s="2028"/>
      <c r="S76" s="2028"/>
      <c r="T76" s="2028"/>
      <c r="U76" s="2028"/>
      <c r="V76" s="2028"/>
    </row>
    <row r="77" spans="1:22" ht="26.25" thickBot="1">
      <c r="A77" s="3338" t="s">
        <v>425</v>
      </c>
      <c r="B77" s="3339"/>
      <c r="C77" s="3339"/>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37">
        <f>IF(AND(K75="",K76=""),4,IF(项目基本情况!K6="上海银行",K76+1,K75+1))</f>
        <v>5</v>
      </c>
      <c r="L77" s="3336" t="s">
        <v>2887</v>
      </c>
      <c r="M77" s="3060" t="s">
        <v>420</v>
      </c>
      <c r="N77" s="1301"/>
      <c r="O77" s="1302">
        <f ca="1">SUMIF(N72:N76,"&lt;9e307")</f>
        <v>176</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37"/>
      <c r="L78" s="3336"/>
      <c r="M78" s="3060" t="s">
        <v>424</v>
      </c>
      <c r="N78" s="1301"/>
      <c r="O78" s="1302" t="str">
        <f ca="1">NUMBERSTRING(INT(O77*10000),2)&amp;"元整"</f>
        <v>壹佰柒拾陆万元整</v>
      </c>
      <c r="P78" s="1303"/>
      <c r="Q78" s="2028"/>
      <c r="R78" s="2028"/>
      <c r="S78" s="2028"/>
      <c r="T78" s="2028"/>
      <c r="U78" s="2028"/>
      <c r="V78" s="2028"/>
    </row>
    <row r="79" spans="1:22" ht="13.5" thickBot="1">
      <c r="A79" s="3331" t="s">
        <v>426</v>
      </c>
      <c r="B79" s="3331"/>
      <c r="C79" s="3331"/>
      <c r="D79" s="3331"/>
      <c r="E79" s="3331"/>
      <c r="F79" s="42"/>
      <c r="G79" s="42"/>
      <c r="H79" s="1002"/>
      <c r="I79" s="311"/>
      <c r="J79" s="2035"/>
      <c r="K79" s="3357">
        <f>K77+1</f>
        <v>6</v>
      </c>
      <c r="L79" s="3336" t="s">
        <v>2888</v>
      </c>
      <c r="M79" s="3060" t="s">
        <v>420</v>
      </c>
      <c r="N79" s="1301"/>
      <c r="O79" s="1302" t="e">
        <f ca="1">N69-O77</f>
        <v>#VALUE!</v>
      </c>
      <c r="P79" s="1303"/>
      <c r="Q79" s="2028"/>
      <c r="R79" s="2028"/>
      <c r="S79" s="2028"/>
      <c r="T79" s="2028"/>
      <c r="U79" s="2028"/>
      <c r="V79" s="2028"/>
    </row>
    <row r="80" spans="1:22" ht="12.75">
      <c r="A80" s="3326" t="s">
        <v>427</v>
      </c>
      <c r="B80" s="3327"/>
      <c r="C80" s="993"/>
      <c r="D80" s="993" t="s">
        <v>428</v>
      </c>
      <c r="E80" s="370" t="s">
        <v>429</v>
      </c>
      <c r="F80" s="42"/>
      <c r="G80" s="42"/>
      <c r="H80" s="1002"/>
      <c r="I80" s="311"/>
      <c r="J80" s="2028"/>
      <c r="K80" s="3358"/>
      <c r="L80" s="3336"/>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1052</v>
      </c>
      <c r="D81" s="373"/>
      <c r="E81" s="374"/>
      <c r="F81" s="42"/>
      <c r="G81" s="42"/>
      <c r="H81" s="1002"/>
      <c r="I81" s="311"/>
      <c r="J81" s="2028"/>
      <c r="K81" s="3054">
        <f>K79+1</f>
        <v>7</v>
      </c>
      <c r="L81" s="3334" t="s">
        <v>2889</v>
      </c>
      <c r="M81" s="3335"/>
      <c r="N81" s="1305"/>
      <c r="O81" s="1306" t="e">
        <f ca="1">ROUND(O79*10000/'数据-汇总表'!E3,0)</f>
        <v>#VALUE!</v>
      </c>
      <c r="P81" s="1307"/>
      <c r="Q81" s="2028"/>
      <c r="R81" s="2028"/>
      <c r="S81" s="2028"/>
      <c r="T81" s="2028"/>
      <c r="U81" s="2028"/>
      <c r="V81" s="2028"/>
    </row>
    <row r="82" spans="1:26" ht="13.5" thickTop="1">
      <c r="A82" s="375" t="s">
        <v>1824</v>
      </c>
      <c r="B82" s="376" t="s">
        <v>431</v>
      </c>
      <c r="C82" s="377">
        <f ca="1">D63</f>
        <v>1105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346"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346"/>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-948</v>
      </c>
      <c r="D85" s="378" t="s">
        <v>19</v>
      </c>
      <c r="E85" s="379"/>
      <c r="F85" s="42"/>
      <c r="G85" s="42"/>
      <c r="H85" s="1002"/>
      <c r="I85" s="311"/>
      <c r="J85" s="2028"/>
      <c r="K85" s="3346"/>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5.3000000000000005E-2</v>
      </c>
      <c r="E86" s="390"/>
      <c r="F86" s="42"/>
      <c r="G86" s="42"/>
      <c r="H86" s="1002"/>
      <c r="I86" s="311"/>
      <c r="J86" s="2028"/>
      <c r="K86" s="3346"/>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46"/>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28" t="s">
        <v>436</v>
      </c>
      <c r="B88" s="3329"/>
      <c r="C88" s="3329"/>
      <c r="D88" s="3329"/>
      <c r="E88" s="3329"/>
      <c r="F88" s="3329"/>
      <c r="G88" s="3329"/>
      <c r="H88" s="3329"/>
      <c r="I88" s="1314"/>
      <c r="J88" s="2036"/>
      <c r="K88" s="3346"/>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26" t="s">
        <v>427</v>
      </c>
      <c r="B89" s="3327"/>
      <c r="C89" s="993"/>
      <c r="D89" s="993" t="s">
        <v>428</v>
      </c>
      <c r="E89" s="391" t="s">
        <v>437</v>
      </c>
      <c r="F89" s="392"/>
      <c r="G89" s="392"/>
      <c r="H89" s="393"/>
      <c r="I89" s="1315"/>
      <c r="J89" s="2038"/>
      <c r="K89" s="3346"/>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1052</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2564</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289" t="s">
        <v>446</v>
      </c>
      <c r="F94" s="3288"/>
      <c r="G94" s="3288"/>
      <c r="H94" s="332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3</v>
      </c>
      <c r="D96" s="406">
        <f>'数据-取费表'!B43</f>
        <v>3.0000000000000001E-3</v>
      </c>
      <c r="E96" s="3317" t="s">
        <v>2430</v>
      </c>
      <c r="F96" s="3318"/>
      <c r="G96" s="3318"/>
      <c r="H96" s="331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-1512</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8" t="s">
        <v>453</v>
      </c>
      <c r="B101" s="3329"/>
      <c r="C101" s="3329"/>
      <c r="D101" s="3329"/>
      <c r="E101" s="3329"/>
      <c r="F101" s="3329"/>
      <c r="G101" s="3329"/>
      <c r="H101" s="332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6" t="s">
        <v>427</v>
      </c>
      <c r="B102" s="3327"/>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1052</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693</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20" t="s">
        <v>461</v>
      </c>
      <c r="F109" s="3318"/>
      <c r="G109" s="331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20" t="s">
        <v>463</v>
      </c>
      <c r="F110" s="3318"/>
      <c r="G110" s="3318"/>
      <c r="H110" s="331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3</v>
      </c>
      <c r="D111" s="406">
        <f>'数据-取费表'!B43</f>
        <v>3.0000000000000001E-3</v>
      </c>
      <c r="E111" s="3317" t="s">
        <v>2430</v>
      </c>
      <c r="F111" s="3318"/>
      <c r="G111" s="3318"/>
      <c r="H111" s="331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20" t="s">
        <v>2455</v>
      </c>
      <c r="F112" s="3318"/>
      <c r="G112" s="3318"/>
      <c r="H112" s="331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359</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0.51803751803751807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3" sqref="I3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4205</v>
      </c>
      <c r="C2" s="2104"/>
      <c r="D2" s="2104"/>
      <c r="E2" s="2104"/>
      <c r="F2" s="2104"/>
      <c r="G2" s="2104"/>
      <c r="H2" s="2104"/>
      <c r="I2" s="2104"/>
      <c r="J2" s="2104"/>
      <c r="K2" s="2104"/>
    </row>
    <row r="3" spans="1:31" s="2041" customFormat="1" ht="18" customHeight="1">
      <c r="A3" s="2106" t="s">
        <v>1684</v>
      </c>
      <c r="B3" s="2107">
        <f ca="1">ROUND(B2*10000/IF(B1="",'数据-汇总表'!E3,INDIRECT("'数据-取费表'!K"&amp;$K$1)),0)</f>
        <v>5298</v>
      </c>
      <c r="C3" s="2104"/>
      <c r="D3" s="2104"/>
      <c r="E3" s="2104"/>
      <c r="F3" s="2104"/>
      <c r="G3" s="2104"/>
      <c r="H3" s="2104"/>
      <c r="I3" s="2104"/>
      <c r="J3" s="2104"/>
      <c r="K3" s="2104"/>
    </row>
    <row r="4" spans="1:31" s="2041" customFormat="1" ht="18" customHeight="1">
      <c r="A4" s="426" t="s">
        <v>467</v>
      </c>
      <c r="B4" s="427">
        <f ca="1">ROUND(B2*10000/IF(B1="",'数据-汇总表'!D3,INDIRECT("'数据-取费表'!R"&amp;$K$1)),0)</f>
        <v>6358</v>
      </c>
      <c r="C4" s="428"/>
      <c r="D4" s="422"/>
      <c r="E4" s="422"/>
      <c r="F4" s="422"/>
      <c r="G4" s="422"/>
      <c r="H4" s="422"/>
      <c r="I4" s="422"/>
      <c r="J4" s="422"/>
      <c r="K4" s="422"/>
    </row>
    <row r="5" spans="1:31" s="2041" customFormat="1" ht="18" customHeight="1" thickBot="1">
      <c r="A5" s="429"/>
      <c r="B5" s="430">
        <f ca="1">ROUND(B2/(IF(B1="",'数据-汇总表'!D3,INDIRECT("'数据-取费表'!R"&amp;$K$1))/666.67),0)</f>
        <v>424</v>
      </c>
      <c r="C5" s="431" t="s">
        <v>468</v>
      </c>
      <c r="D5" s="422"/>
      <c r="E5" s="422"/>
      <c r="F5" s="422"/>
      <c r="G5" s="422"/>
      <c r="H5" s="422"/>
      <c r="I5" s="422"/>
      <c r="J5" s="422"/>
      <c r="K5" s="422"/>
    </row>
    <row r="6" spans="1:31" s="2111" customFormat="1" ht="16.5" customHeight="1">
      <c r="A6" s="2828" t="s">
        <v>1842</v>
      </c>
      <c r="B6" s="2829"/>
      <c r="C6" s="2830">
        <f ca="1">SUM(C10:K10)</f>
        <v>10551.83483</v>
      </c>
      <c r="D6" s="2829"/>
      <c r="E6" s="2829"/>
      <c r="F6" s="2829"/>
      <c r="G6" s="2829"/>
      <c r="H6" s="2829"/>
      <c r="I6" s="2829"/>
      <c r="J6" s="2829"/>
      <c r="K6" s="2831"/>
    </row>
    <row r="7" spans="1:31" s="2113" customFormat="1" ht="15">
      <c r="A7" s="2832" t="s">
        <v>469</v>
      </c>
      <c r="B7" s="2833" t="s">
        <v>470</v>
      </c>
      <c r="C7" s="436" t="s">
        <v>3170</v>
      </c>
      <c r="D7" s="436" t="s">
        <v>3172</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13830.1</v>
      </c>
      <c r="D8" s="2834">
        <f ca="1">不动产收益法!B3</f>
        <v>8476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9878.8404300000002</v>
      </c>
      <c r="D10" s="3029">
        <f ca="1">D8*D9/10000</f>
        <v>672.99440000000004</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317</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533</v>
      </c>
      <c r="D29" s="468"/>
      <c r="E29" s="468"/>
      <c r="F29" s="3037">
        <f>'数据-取费表'!B41</f>
        <v>5.3000000000000005E-2</v>
      </c>
      <c r="G29" s="2821" t="s">
        <v>497</v>
      </c>
      <c r="H29" s="2813"/>
      <c r="I29" s="2813"/>
      <c r="J29" s="2813"/>
      <c r="K29" s="2814"/>
    </row>
    <row r="30" spans="1:14" s="2121" customFormat="1" ht="13.5" customHeight="1">
      <c r="A30" s="1634" t="s">
        <v>1863</v>
      </c>
      <c r="B30" s="2862" t="s">
        <v>499</v>
      </c>
      <c r="C30" s="2857">
        <f ca="1">C31</f>
        <v>3807</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3807</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733</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733</v>
      </c>
      <c r="D35" s="1628"/>
      <c r="E35" s="2864"/>
      <c r="F35" s="1629"/>
      <c r="G35" s="2822"/>
      <c r="H35" s="2823"/>
      <c r="I35" s="2823"/>
      <c r="J35" s="2823"/>
      <c r="K35" s="2824"/>
    </row>
    <row r="36" spans="1:11" s="2085" customFormat="1" ht="13.5" customHeight="1" thickBot="1">
      <c r="A36" s="284" t="s">
        <v>1844</v>
      </c>
      <c r="B36" s="2826"/>
      <c r="C36" s="2865">
        <f ca="1">ROUND((C6-C30-C33)/(1+D30+D33),0)</f>
        <v>4205</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5.0500000000000003E-2</v>
      </c>
      <c r="D27" s="462" t="s">
        <v>2832</v>
      </c>
      <c r="E27" s="462"/>
      <c r="F27" s="466">
        <f>'数据-取费表'!B41</f>
        <v>5.3000000000000005E-2</v>
      </c>
      <c r="G27" s="1960" t="s">
        <v>2293</v>
      </c>
      <c r="H27" s="447"/>
      <c r="I27" s="447"/>
      <c r="J27" s="447"/>
      <c r="K27" s="448"/>
    </row>
    <row r="28" spans="1:14" s="2121" customFormat="1" ht="13.5" customHeight="1">
      <c r="A28" s="1636" t="s">
        <v>1868</v>
      </c>
      <c r="B28" s="476" t="s">
        <v>511</v>
      </c>
      <c r="C28" s="470">
        <f ca="1">ROUND((C18+C19+C21+C24)/(1-C20-D21-D24-C27),0)</f>
        <v>3823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5.3000000000000005E-2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97" t="str">
        <f>项目基本情况!B1</f>
        <v>出让国有建设用地使用权抵押价格预评估</v>
      </c>
      <c r="C37" s="3197"/>
      <c r="D37" s="3197"/>
      <c r="E37" s="3197"/>
      <c r="F37" s="3197"/>
      <c r="G37" s="3197"/>
      <c r="H37" s="3197"/>
      <c r="I37" s="3197"/>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N17" sqref="N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1148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1446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1736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116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71" t="s">
        <v>521</v>
      </c>
      <c r="D6" s="3372"/>
      <c r="E6" s="3371" t="s">
        <v>522</v>
      </c>
      <c r="F6" s="3372"/>
      <c r="G6" s="3371" t="s">
        <v>523</v>
      </c>
      <c r="H6" s="3372"/>
      <c r="I6" s="3371" t="s">
        <v>524</v>
      </c>
      <c r="J6" s="3372"/>
      <c r="K6" s="514" t="s">
        <v>525</v>
      </c>
      <c r="L6" s="2133"/>
      <c r="M6" s="2132"/>
      <c r="N6" s="2132"/>
      <c r="O6" s="2134"/>
      <c r="P6" s="3373" t="s">
        <v>526</v>
      </c>
      <c r="Q6" s="3374"/>
      <c r="R6" s="3379" t="s">
        <v>522</v>
      </c>
      <c r="S6" s="3380"/>
      <c r="T6" s="3379" t="s">
        <v>523</v>
      </c>
      <c r="U6" s="3380"/>
      <c r="V6" s="3366" t="s">
        <v>524</v>
      </c>
      <c r="W6" s="3366"/>
      <c r="X6" s="1566"/>
      <c r="Y6" s="3379" t="s">
        <v>526</v>
      </c>
      <c r="Z6" s="3380"/>
      <c r="AA6" s="3368" t="s">
        <v>522</v>
      </c>
      <c r="AB6" s="3369" t="s">
        <v>523</v>
      </c>
      <c r="AC6" s="3368" t="s">
        <v>524</v>
      </c>
    </row>
    <row r="7" spans="1:30" ht="20.25">
      <c r="A7" s="515"/>
      <c r="B7" s="516"/>
      <c r="C7" s="3387" t="s">
        <v>3002</v>
      </c>
      <c r="D7" s="3388"/>
      <c r="E7" s="3387" t="s">
        <v>3154</v>
      </c>
      <c r="F7" s="3388"/>
      <c r="G7" s="3387" t="s">
        <v>3138</v>
      </c>
      <c r="H7" s="3388"/>
      <c r="I7" s="3387" t="s">
        <v>3140</v>
      </c>
      <c r="J7" s="3388"/>
      <c r="K7" s="514"/>
      <c r="L7" s="2133"/>
      <c r="M7" s="2132"/>
      <c r="N7" s="2132"/>
      <c r="O7" s="2134"/>
      <c r="P7" s="3375"/>
      <c r="Q7" s="3376"/>
      <c r="R7" s="3381"/>
      <c r="S7" s="3382"/>
      <c r="T7" s="3381"/>
      <c r="U7" s="3382"/>
      <c r="V7" s="3366"/>
      <c r="W7" s="3366"/>
      <c r="X7" s="1566"/>
      <c r="Y7" s="3381"/>
      <c r="Z7" s="3382"/>
      <c r="AA7" s="3369"/>
      <c r="AB7" s="3369"/>
      <c r="AC7" s="3369"/>
    </row>
    <row r="8" spans="1:30" ht="21" thickBot="1">
      <c r="A8" s="515"/>
      <c r="B8" s="516"/>
      <c r="C8" s="3389" t="s">
        <v>2937</v>
      </c>
      <c r="D8" s="3390"/>
      <c r="E8" s="3389" t="s">
        <v>2937</v>
      </c>
      <c r="F8" s="3390"/>
      <c r="G8" s="3385" t="s">
        <v>2937</v>
      </c>
      <c r="H8" s="3386"/>
      <c r="I8" s="3385" t="s">
        <v>2937</v>
      </c>
      <c r="J8" s="3386"/>
      <c r="K8" s="514" t="s">
        <v>527</v>
      </c>
      <c r="L8" s="2133"/>
      <c r="M8" s="2132"/>
      <c r="N8" s="2132"/>
      <c r="O8" s="2134"/>
      <c r="P8" s="3377"/>
      <c r="Q8" s="3378"/>
      <c r="R8" s="3381"/>
      <c r="S8" s="3382"/>
      <c r="T8" s="3383"/>
      <c r="U8" s="3384"/>
      <c r="V8" s="3366"/>
      <c r="W8" s="3366"/>
      <c r="X8" s="1566"/>
      <c r="Y8" s="3383"/>
      <c r="Z8" s="3384"/>
      <c r="AA8" s="3370"/>
      <c r="AB8" s="3370"/>
      <c r="AC8" s="3370"/>
    </row>
    <row r="9" spans="1:30" s="1219" customFormat="1" ht="21" thickBot="1">
      <c r="A9" s="2912"/>
      <c r="B9" s="2919" t="s">
        <v>528</v>
      </c>
      <c r="C9" s="2911">
        <f>'数据-取费表'!B2</f>
        <v>43334</v>
      </c>
      <c r="D9" s="520">
        <v>100</v>
      </c>
      <c r="E9" s="521">
        <v>42998</v>
      </c>
      <c r="F9" s="522">
        <f>SUMIF(72:72,YEAR(E9)&amp;"-"&amp;INT((MONTH(E9)+2)/3),73:73)</f>
        <v>96</v>
      </c>
      <c r="G9" s="523">
        <v>43180</v>
      </c>
      <c r="H9" s="520">
        <f>SUMIF(72:72,YEAR(G9)&amp;"-"&amp;INT((MONTH(G9)+2)/3),73:73)</f>
        <v>98</v>
      </c>
      <c r="I9" s="523">
        <v>43155</v>
      </c>
      <c r="J9" s="520">
        <f>SUMIF(72:72,YEAR(I9)&amp;"-"&amp;INT((MONTH(I9)+2)/3),73:73)</f>
        <v>98</v>
      </c>
      <c r="K9" s="524"/>
      <c r="L9" s="2135"/>
      <c r="M9" s="2132"/>
      <c r="N9" s="2132"/>
      <c r="O9" s="2136"/>
      <c r="P9" s="3396" t="s">
        <v>529</v>
      </c>
      <c r="Q9" s="3398"/>
      <c r="R9" s="1567" t="s">
        <v>8</v>
      </c>
      <c r="S9" s="1568">
        <f t="shared" ref="S9:S17" si="0">F9</f>
        <v>96</v>
      </c>
      <c r="T9" s="1567" t="s">
        <v>8</v>
      </c>
      <c r="U9" s="1568">
        <f t="shared" ref="U9:U17" si="1">H9</f>
        <v>98</v>
      </c>
      <c r="V9" s="1567" t="s">
        <v>8</v>
      </c>
      <c r="W9" s="1568">
        <f t="shared" ref="W9:W17" si="2">J9</f>
        <v>98</v>
      </c>
      <c r="X9" s="1569"/>
      <c r="Y9" s="3396" t="s">
        <v>529</v>
      </c>
      <c r="Z9" s="3397"/>
      <c r="AA9" s="1570">
        <f>D9/F9</f>
        <v>1.0416666666666667</v>
      </c>
      <c r="AB9" s="1570">
        <f>D9/H9</f>
        <v>1.0204081632653061</v>
      </c>
      <c r="AC9" s="1570">
        <f>D9/J9</f>
        <v>1.0204081632653061</v>
      </c>
    </row>
    <row r="10" spans="1:30" s="1219" customFormat="1" ht="21" thickBot="1">
      <c r="A10" s="2913"/>
      <c r="B10" s="2920" t="s">
        <v>530</v>
      </c>
      <c r="C10" s="856" t="s">
        <v>531</v>
      </c>
      <c r="D10" s="520">
        <v>100</v>
      </c>
      <c r="E10" s="525" t="s">
        <v>3000</v>
      </c>
      <c r="F10" s="522">
        <f>SUMIF(75:75,E10,76:76)-SUMIF(75:75,C10,76:76)+100</f>
        <v>100</v>
      </c>
      <c r="G10" s="525" t="s">
        <v>3000</v>
      </c>
      <c r="H10" s="520">
        <f>SUMIF(75:75,G10,76:76)-SUMIF(75:75,C10,76:76)+100</f>
        <v>100</v>
      </c>
      <c r="I10" s="525" t="s">
        <v>3000</v>
      </c>
      <c r="J10" s="520">
        <f>SUMIF(75:75,I10,76:76)-SUMIF(75:75,C10,76:76)+100</f>
        <v>100</v>
      </c>
      <c r="K10" s="524"/>
      <c r="L10" s="2135"/>
      <c r="M10" s="2132"/>
      <c r="N10" s="2132"/>
      <c r="O10" s="2136"/>
      <c r="P10" s="3396" t="s">
        <v>532</v>
      </c>
      <c r="Q10" s="3397"/>
      <c r="R10" s="1567" t="s">
        <v>8</v>
      </c>
      <c r="S10" s="1568">
        <f t="shared" si="0"/>
        <v>100</v>
      </c>
      <c r="T10" s="1567" t="s">
        <v>8</v>
      </c>
      <c r="U10" s="1568">
        <f t="shared" si="1"/>
        <v>100</v>
      </c>
      <c r="V10" s="1567" t="s">
        <v>8</v>
      </c>
      <c r="W10" s="1568">
        <f t="shared" si="2"/>
        <v>100</v>
      </c>
      <c r="X10" s="1569"/>
      <c r="Y10" s="3396" t="s">
        <v>532</v>
      </c>
      <c r="Z10" s="3397"/>
      <c r="AA10" s="1570">
        <f t="shared" ref="AA10:AA47" si="3">D10/F10</f>
        <v>1</v>
      </c>
      <c r="AB10" s="1570">
        <f t="shared" ref="AB10:AB47" si="4">D10/H10</f>
        <v>1</v>
      </c>
      <c r="AC10" s="1570">
        <f t="shared" ref="AC10:AC47" si="5">D10/J10</f>
        <v>1</v>
      </c>
    </row>
    <row r="11" spans="1:30" s="1219" customFormat="1" ht="20.25">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65" t="s">
        <v>534</v>
      </c>
      <c r="Q11" s="1150" t="str">
        <f t="shared" ref="Q11:Q17" si="6">B11</f>
        <v>用途</v>
      </c>
      <c r="R11" s="1567" t="s">
        <v>8</v>
      </c>
      <c r="S11" s="1568">
        <f t="shared" si="0"/>
        <v>100</v>
      </c>
      <c r="T11" s="1567" t="s">
        <v>8</v>
      </c>
      <c r="U11" s="1568">
        <f t="shared" si="1"/>
        <v>100</v>
      </c>
      <c r="V11" s="1567" t="s">
        <v>8</v>
      </c>
      <c r="W11" s="1568">
        <f t="shared" si="2"/>
        <v>100</v>
      </c>
      <c r="X11" s="1569"/>
      <c r="Y11" s="3311"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65"/>
      <c r="Q12" s="1150" t="str">
        <f t="shared" si="6"/>
        <v>土地使用年限（年）</v>
      </c>
      <c r="R12" s="1567" t="s">
        <v>8</v>
      </c>
      <c r="S12" s="1568">
        <f t="shared" si="0"/>
        <v>103</v>
      </c>
      <c r="T12" s="1567" t="s">
        <v>8</v>
      </c>
      <c r="U12" s="1568">
        <f t="shared" si="1"/>
        <v>103</v>
      </c>
      <c r="V12" s="1567" t="s">
        <v>8</v>
      </c>
      <c r="W12" s="1568">
        <f t="shared" si="2"/>
        <v>103</v>
      </c>
      <c r="X12" s="1569"/>
      <c r="Y12" s="3311"/>
      <c r="Z12" s="1149" t="str">
        <f t="shared" si="7"/>
        <v>土地使用年限（年）</v>
      </c>
      <c r="AA12" s="1570">
        <f t="shared" si="3"/>
        <v>0.970873786407767</v>
      </c>
      <c r="AB12" s="1570">
        <f t="shared" si="4"/>
        <v>0.970873786407767</v>
      </c>
      <c r="AC12" s="1570">
        <f t="shared" si="5"/>
        <v>0.970873786407767</v>
      </c>
    </row>
    <row r="13" spans="1:30" ht="20.25">
      <c r="A13" s="2916"/>
      <c r="B13" s="2920" t="s">
        <v>2760</v>
      </c>
      <c r="C13" s="534">
        <v>1.2</v>
      </c>
      <c r="D13" s="255">
        <v>100</v>
      </c>
      <c r="E13" s="533">
        <v>2.1</v>
      </c>
      <c r="F13" s="255">
        <f>LOOKUP(E13,82:82,83:83)-LOOKUP(C13,82:82,83:83)+100</f>
        <v>90</v>
      </c>
      <c r="G13" s="534">
        <v>1.1000000000000001</v>
      </c>
      <c r="H13" s="255">
        <f>LOOKUP(G13,82:82,83:83)-LOOKUP(C13,82:82,83:83)+100</f>
        <v>100</v>
      </c>
      <c r="I13" s="533">
        <v>1.6</v>
      </c>
      <c r="J13" s="255">
        <f>LOOKUP(I13,82:82,83:83)-LOOKUP(C13,82:82,83:83)+100</f>
        <v>95</v>
      </c>
      <c r="K13" s="535">
        <v>5</v>
      </c>
      <c r="L13" s="2140"/>
      <c r="M13" s="2132"/>
      <c r="N13" s="2132"/>
      <c r="O13" s="2141"/>
      <c r="P13" s="3365"/>
      <c r="Q13" s="1150" t="str">
        <f t="shared" si="6"/>
        <v>容积率</v>
      </c>
      <c r="R13" s="1567" t="s">
        <v>8</v>
      </c>
      <c r="S13" s="1568">
        <f t="shared" si="0"/>
        <v>90</v>
      </c>
      <c r="T13" s="1567" t="s">
        <v>8</v>
      </c>
      <c r="U13" s="1568">
        <f t="shared" si="1"/>
        <v>100</v>
      </c>
      <c r="V13" s="1567" t="s">
        <v>8</v>
      </c>
      <c r="W13" s="1568">
        <f t="shared" si="2"/>
        <v>95</v>
      </c>
      <c r="X13" s="1569"/>
      <c r="Y13" s="3311"/>
      <c r="Z13" s="1149" t="str">
        <f t="shared" si="7"/>
        <v>容积率</v>
      </c>
      <c r="AA13" s="1570">
        <f t="shared" si="3"/>
        <v>1.1111111111111112</v>
      </c>
      <c r="AB13" s="1570">
        <f t="shared" si="4"/>
        <v>1</v>
      </c>
      <c r="AC13" s="1570">
        <f t="shared" si="5"/>
        <v>1.0526315789473684</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5"/>
      <c r="Q14" s="1150" t="str">
        <f t="shared" si="6"/>
        <v>配建</v>
      </c>
      <c r="R14" s="1567" t="s">
        <v>8</v>
      </c>
      <c r="S14" s="1568">
        <f t="shared" si="0"/>
        <v>100</v>
      </c>
      <c r="T14" s="1567" t="s">
        <v>8</v>
      </c>
      <c r="U14" s="1568">
        <f t="shared" si="1"/>
        <v>100</v>
      </c>
      <c r="V14" s="1567" t="s">
        <v>8</v>
      </c>
      <c r="W14" s="1568">
        <f t="shared" si="2"/>
        <v>100</v>
      </c>
      <c r="X14" s="1569"/>
      <c r="Y14" s="3311"/>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5"/>
      <c r="Q15" s="1150">
        <f t="shared" si="6"/>
        <v>111</v>
      </c>
      <c r="R15" s="1567" t="s">
        <v>8</v>
      </c>
      <c r="S15" s="1568">
        <f t="shared" si="0"/>
        <v>100</v>
      </c>
      <c r="T15" s="1567" t="s">
        <v>8</v>
      </c>
      <c r="U15" s="1568">
        <f t="shared" si="1"/>
        <v>100</v>
      </c>
      <c r="V15" s="1567" t="s">
        <v>8</v>
      </c>
      <c r="W15" s="1568">
        <f t="shared" si="2"/>
        <v>100</v>
      </c>
      <c r="X15" s="1569"/>
      <c r="Y15" s="3311"/>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5"/>
      <c r="Q16" s="1150">
        <f t="shared" si="6"/>
        <v>111</v>
      </c>
      <c r="R16" s="1567" t="s">
        <v>8</v>
      </c>
      <c r="S16" s="1568">
        <f t="shared" si="0"/>
        <v>100</v>
      </c>
      <c r="T16" s="1567" t="s">
        <v>8</v>
      </c>
      <c r="U16" s="1568">
        <f t="shared" si="1"/>
        <v>100</v>
      </c>
      <c r="V16" s="1567" t="s">
        <v>8</v>
      </c>
      <c r="W16" s="1568">
        <f t="shared" si="2"/>
        <v>100</v>
      </c>
      <c r="X16" s="1569"/>
      <c r="Y16" s="3311"/>
      <c r="Z16" s="1149">
        <f t="shared" si="7"/>
        <v>111</v>
      </c>
      <c r="AA16" s="1570">
        <f>D16/F16</f>
        <v>1</v>
      </c>
      <c r="AB16" s="1570">
        <f>D16/H16</f>
        <v>1</v>
      </c>
      <c r="AC16" s="1570">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2"/>
      <c r="M17" s="2132"/>
      <c r="N17" s="2132" t="s">
        <v>3174</v>
      </c>
      <c r="O17" s="2141"/>
      <c r="P17" s="3399" t="s">
        <v>539</v>
      </c>
      <c r="Q17" s="1571" t="str">
        <f t="shared" si="6"/>
        <v>居住社区成熟度</v>
      </c>
      <c r="R17" s="1572" t="s">
        <v>8</v>
      </c>
      <c r="S17" s="1573">
        <f t="shared" si="0"/>
        <v>100</v>
      </c>
      <c r="T17" s="1572" t="s">
        <v>8</v>
      </c>
      <c r="U17" s="1573">
        <f t="shared" si="1"/>
        <v>100</v>
      </c>
      <c r="V17" s="1572" t="s">
        <v>8</v>
      </c>
      <c r="W17" s="1573">
        <f t="shared" si="2"/>
        <v>100</v>
      </c>
      <c r="X17" s="1566"/>
      <c r="Y17" s="3399" t="s">
        <v>539</v>
      </c>
      <c r="Z17" s="1574" t="str">
        <f t="shared" si="7"/>
        <v>居住社区成熟度</v>
      </c>
      <c r="AA17" s="1575">
        <f t="shared" si="3"/>
        <v>1</v>
      </c>
      <c r="AB17" s="1575">
        <f t="shared" si="4"/>
        <v>1</v>
      </c>
      <c r="AC17" s="1575">
        <f t="shared" si="5"/>
        <v>1</v>
      </c>
    </row>
    <row r="18" spans="1:29" ht="20.25">
      <c r="A18" s="532"/>
      <c r="B18" s="553"/>
      <c r="C18" s="554" t="s">
        <v>3003</v>
      </c>
      <c r="D18" s="557"/>
      <c r="E18" s="558" t="s">
        <v>3003</v>
      </c>
      <c r="F18" s="555"/>
      <c r="G18" s="556" t="s">
        <v>3003</v>
      </c>
      <c r="H18" s="559"/>
      <c r="I18" s="558" t="s">
        <v>3003</v>
      </c>
      <c r="J18" s="555"/>
      <c r="K18" s="531"/>
      <c r="L18" s="2142"/>
      <c r="M18" s="2132"/>
      <c r="N18" s="2132"/>
      <c r="O18" s="2141"/>
      <c r="P18" s="3400"/>
      <c r="Q18" s="1571"/>
      <c r="R18" s="1572"/>
      <c r="S18" s="1573"/>
      <c r="T18" s="1572"/>
      <c r="U18" s="1573"/>
      <c r="V18" s="1572"/>
      <c r="W18" s="1573"/>
      <c r="X18" s="1566"/>
      <c r="Y18" s="3400"/>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00"/>
      <c r="Q19" s="1571" t="str">
        <f>B19</f>
        <v>商业繁华度</v>
      </c>
      <c r="R19" s="1572" t="s">
        <v>8</v>
      </c>
      <c r="S19" s="1573">
        <f>F19</f>
        <v>100</v>
      </c>
      <c r="T19" s="1572" t="s">
        <v>8</v>
      </c>
      <c r="U19" s="1573">
        <f>H19</f>
        <v>100</v>
      </c>
      <c r="V19" s="1572" t="s">
        <v>8</v>
      </c>
      <c r="W19" s="1573">
        <f>J19</f>
        <v>100</v>
      </c>
      <c r="X19" s="1566"/>
      <c r="Y19" s="3400"/>
      <c r="Z19" s="1574" t="str">
        <f>Q19</f>
        <v>商业繁华度</v>
      </c>
      <c r="AA19" s="1575">
        <f t="shared" si="3"/>
        <v>1</v>
      </c>
      <c r="AB19" s="1575">
        <f t="shared" si="4"/>
        <v>1</v>
      </c>
      <c r="AC19" s="1575">
        <f t="shared" si="5"/>
        <v>1</v>
      </c>
    </row>
    <row r="20" spans="1:29" ht="20.25">
      <c r="A20" s="532"/>
      <c r="B20" s="566"/>
      <c r="C20" s="567" t="s">
        <v>3003</v>
      </c>
      <c r="D20" s="563"/>
      <c r="E20" s="569" t="s">
        <v>3003</v>
      </c>
      <c r="F20" s="559"/>
      <c r="G20" s="568" t="s">
        <v>3003</v>
      </c>
      <c r="H20" s="555"/>
      <c r="I20" s="569" t="s">
        <v>3003</v>
      </c>
      <c r="J20" s="555"/>
      <c r="K20" s="531"/>
      <c r="L20" s="2142"/>
      <c r="M20" s="2132"/>
      <c r="N20" s="2132"/>
      <c r="O20" s="2141"/>
      <c r="P20" s="3400"/>
      <c r="Q20" s="1571"/>
      <c r="R20" s="1572"/>
      <c r="S20" s="1573"/>
      <c r="T20" s="1572"/>
      <c r="U20" s="1573"/>
      <c r="V20" s="1572"/>
      <c r="W20" s="1573"/>
      <c r="X20" s="1566"/>
      <c r="Y20" s="3400"/>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0"/>
      <c r="Q21" s="1571" t="str">
        <f>B21</f>
        <v>办公集聚程度</v>
      </c>
      <c r="R21" s="1572" t="s">
        <v>8</v>
      </c>
      <c r="S21" s="1573">
        <f>F21</f>
        <v>100</v>
      </c>
      <c r="T21" s="1572" t="s">
        <v>8</v>
      </c>
      <c r="U21" s="1573">
        <f>H21</f>
        <v>100</v>
      </c>
      <c r="V21" s="1572" t="s">
        <v>8</v>
      </c>
      <c r="W21" s="1573">
        <f>J21</f>
        <v>100</v>
      </c>
      <c r="X21" s="1566"/>
      <c r="Y21" s="3400"/>
      <c r="Z21" s="1574" t="str">
        <f>Q21</f>
        <v>办公集聚程度</v>
      </c>
      <c r="AA21" s="1575">
        <f t="shared" si="3"/>
        <v>1</v>
      </c>
      <c r="AB21" s="1575">
        <f t="shared" si="4"/>
        <v>1</v>
      </c>
      <c r="AC21" s="1575">
        <f t="shared" si="5"/>
        <v>1</v>
      </c>
    </row>
    <row r="22" spans="1:29" ht="20.25">
      <c r="A22" s="532"/>
      <c r="B22" s="566"/>
      <c r="C22" s="554" t="s">
        <v>3003</v>
      </c>
      <c r="D22" s="557"/>
      <c r="E22" s="558" t="s">
        <v>3003</v>
      </c>
      <c r="F22" s="555"/>
      <c r="G22" s="556" t="s">
        <v>3003</v>
      </c>
      <c r="H22" s="555"/>
      <c r="I22" s="558" t="s">
        <v>3003</v>
      </c>
      <c r="J22" s="555"/>
      <c r="K22" s="531"/>
      <c r="L22" s="2142"/>
      <c r="M22" s="2132"/>
      <c r="N22" s="2132"/>
      <c r="O22" s="2141"/>
      <c r="P22" s="3400"/>
      <c r="Q22" s="1571"/>
      <c r="R22" s="1572"/>
      <c r="S22" s="1573"/>
      <c r="T22" s="1572"/>
      <c r="U22" s="1573"/>
      <c r="V22" s="1572"/>
      <c r="W22" s="1573"/>
      <c r="X22" s="1566"/>
      <c r="Y22" s="3400"/>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00"/>
      <c r="Q23" s="1571" t="str">
        <f>B23</f>
        <v>交通便捷度</v>
      </c>
      <c r="R23" s="1572" t="s">
        <v>8</v>
      </c>
      <c r="S23" s="1573">
        <f>F23</f>
        <v>100</v>
      </c>
      <c r="T23" s="1572" t="s">
        <v>8</v>
      </c>
      <c r="U23" s="1573">
        <f>H23</f>
        <v>100</v>
      </c>
      <c r="V23" s="1572" t="s">
        <v>8</v>
      </c>
      <c r="W23" s="1573">
        <f>J23</f>
        <v>100</v>
      </c>
      <c r="X23" s="1566"/>
      <c r="Y23" s="3400"/>
      <c r="Z23" s="1574" t="str">
        <f>Q23</f>
        <v>交通便捷度</v>
      </c>
      <c r="AA23" s="1575">
        <f t="shared" si="3"/>
        <v>1</v>
      </c>
      <c r="AB23" s="1575">
        <f t="shared" si="4"/>
        <v>1</v>
      </c>
      <c r="AC23" s="1575">
        <f t="shared" si="5"/>
        <v>1</v>
      </c>
    </row>
    <row r="24" spans="1:29" ht="20.25">
      <c r="A24" s="532"/>
      <c r="B24" s="578"/>
      <c r="C24" s="554" t="s">
        <v>3003</v>
      </c>
      <c r="D24" s="557"/>
      <c r="E24" s="558" t="s">
        <v>3003</v>
      </c>
      <c r="F24" s="555"/>
      <c r="G24" s="556" t="s">
        <v>3003</v>
      </c>
      <c r="H24" s="555"/>
      <c r="I24" s="558" t="s">
        <v>3003</v>
      </c>
      <c r="J24" s="555"/>
      <c r="K24" s="531"/>
      <c r="L24" s="2142"/>
      <c r="M24" s="2132"/>
      <c r="N24" s="2132"/>
      <c r="O24" s="2141"/>
      <c r="P24" s="3400"/>
      <c r="Q24" s="1571"/>
      <c r="R24" s="1572"/>
      <c r="S24" s="1573"/>
      <c r="T24" s="1572"/>
      <c r="U24" s="1573"/>
      <c r="V24" s="1572"/>
      <c r="W24" s="1573"/>
      <c r="X24" s="1566"/>
      <c r="Y24" s="3400"/>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00"/>
      <c r="Q25" s="1571" t="str">
        <f t="shared" ref="Q25:Q39" si="8">B25</f>
        <v>区域土地利用方向</v>
      </c>
      <c r="R25" s="1572" t="s">
        <v>8</v>
      </c>
      <c r="S25" s="1573">
        <f>F25</f>
        <v>100</v>
      </c>
      <c r="T25" s="1572" t="s">
        <v>8</v>
      </c>
      <c r="U25" s="1573">
        <f>H25</f>
        <v>100</v>
      </c>
      <c r="V25" s="1572" t="s">
        <v>8</v>
      </c>
      <c r="W25" s="1573">
        <f>J25</f>
        <v>100</v>
      </c>
      <c r="X25" s="1566"/>
      <c r="Y25" s="3400"/>
      <c r="Z25" s="1574" t="str">
        <f>Q25</f>
        <v>区域土地利用方向</v>
      </c>
      <c r="AA25" s="1575">
        <f t="shared" si="3"/>
        <v>1</v>
      </c>
      <c r="AB25" s="1575">
        <f t="shared" si="4"/>
        <v>1</v>
      </c>
      <c r="AC25" s="1575">
        <f t="shared" si="5"/>
        <v>1</v>
      </c>
    </row>
    <row r="26" spans="1:29" ht="20.25">
      <c r="A26" s="515"/>
      <c r="B26" s="1006"/>
      <c r="C26" s="554" t="s">
        <v>3006</v>
      </c>
      <c r="D26" s="557"/>
      <c r="E26" s="558" t="s">
        <v>3006</v>
      </c>
      <c r="F26" s="555"/>
      <c r="G26" s="556" t="s">
        <v>3006</v>
      </c>
      <c r="H26" s="555"/>
      <c r="I26" s="558" t="s">
        <v>3006</v>
      </c>
      <c r="J26" s="555"/>
      <c r="K26" s="531"/>
      <c r="L26" s="2142"/>
      <c r="M26" s="2132"/>
      <c r="N26" s="2132"/>
      <c r="O26" s="2141"/>
      <c r="P26" s="3400"/>
      <c r="Q26" s="1571"/>
      <c r="R26" s="1572"/>
      <c r="S26" s="1573"/>
      <c r="T26" s="1572"/>
      <c r="U26" s="1573"/>
      <c r="V26" s="1572"/>
      <c r="W26" s="1573"/>
      <c r="X26" s="1566"/>
      <c r="Y26" s="3400"/>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42"/>
      <c r="M27" s="2132"/>
      <c r="N27" s="2132"/>
      <c r="O27" s="2141"/>
      <c r="P27" s="3400"/>
      <c r="Q27" s="1571" t="str">
        <f t="shared" si="8"/>
        <v>自然及人文环境状况</v>
      </c>
      <c r="R27" s="1572" t="s">
        <v>8</v>
      </c>
      <c r="S27" s="1573">
        <f>F27</f>
        <v>95</v>
      </c>
      <c r="T27" s="1572" t="s">
        <v>8</v>
      </c>
      <c r="U27" s="1573">
        <f>H27</f>
        <v>95</v>
      </c>
      <c r="V27" s="1572" t="s">
        <v>8</v>
      </c>
      <c r="W27" s="1573">
        <f>J27</f>
        <v>95</v>
      </c>
      <c r="X27" s="1566"/>
      <c r="Y27" s="3400"/>
      <c r="Z27" s="1574" t="str">
        <f>Q27</f>
        <v>自然及人文环境状况</v>
      </c>
      <c r="AA27" s="1575">
        <f t="shared" si="3"/>
        <v>1.0526315789473684</v>
      </c>
      <c r="AB27" s="1575">
        <f t="shared" si="4"/>
        <v>1.0526315789473684</v>
      </c>
      <c r="AC27" s="1575">
        <f t="shared" si="5"/>
        <v>1.0526315789473684</v>
      </c>
    </row>
    <row r="28" spans="1:29" ht="20.25">
      <c r="A28" s="515"/>
      <c r="B28" s="566"/>
      <c r="C28" s="554" t="s">
        <v>3004</v>
      </c>
      <c r="D28" s="557"/>
      <c r="E28" s="576" t="s">
        <v>3006</v>
      </c>
      <c r="F28" s="555"/>
      <c r="G28" s="554" t="s">
        <v>3006</v>
      </c>
      <c r="H28" s="555"/>
      <c r="I28" s="576" t="s">
        <v>3006</v>
      </c>
      <c r="J28" s="555"/>
      <c r="K28" s="531"/>
      <c r="L28" s="2142"/>
      <c r="M28" s="2132"/>
      <c r="N28" s="2132"/>
      <c r="O28" s="2141"/>
      <c r="P28" s="3400"/>
      <c r="Q28" s="1571"/>
      <c r="R28" s="1572"/>
      <c r="S28" s="1573"/>
      <c r="T28" s="1572"/>
      <c r="U28" s="1573"/>
      <c r="V28" s="1572"/>
      <c r="W28" s="1573"/>
      <c r="X28" s="1566"/>
      <c r="Y28" s="3400"/>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5"/>
      <c r="M29" s="2132"/>
      <c r="N29" s="2132"/>
      <c r="O29" s="2137"/>
      <c r="P29" s="3400"/>
      <c r="Q29" s="1150" t="str">
        <f t="shared" si="8"/>
        <v>公共配套设施</v>
      </c>
      <c r="R29" s="1567" t="s">
        <v>8</v>
      </c>
      <c r="S29" s="1568">
        <f>F29</f>
        <v>100</v>
      </c>
      <c r="T29" s="1567" t="s">
        <v>8</v>
      </c>
      <c r="U29" s="1568">
        <f>H29</f>
        <v>100</v>
      </c>
      <c r="V29" s="1567" t="s">
        <v>8</v>
      </c>
      <c r="W29" s="1568">
        <f>J29</f>
        <v>100</v>
      </c>
      <c r="X29" s="1569"/>
      <c r="Y29" s="3400"/>
      <c r="Z29" s="1149" t="str">
        <f>Q29</f>
        <v>公共配套设施</v>
      </c>
      <c r="AA29" s="1575">
        <f>D29/F29</f>
        <v>1</v>
      </c>
      <c r="AB29" s="1575">
        <f>D29/H29</f>
        <v>1</v>
      </c>
      <c r="AC29" s="1575">
        <f>D29/J29</f>
        <v>1</v>
      </c>
    </row>
    <row r="30" spans="1:29" s="1219" customFormat="1" ht="20.25">
      <c r="A30" s="577"/>
      <c r="B30" s="566"/>
      <c r="C30" s="579" t="s">
        <v>3003</v>
      </c>
      <c r="D30" s="557"/>
      <c r="E30" s="576" t="s">
        <v>3003</v>
      </c>
      <c r="F30" s="555"/>
      <c r="G30" s="554" t="s">
        <v>3003</v>
      </c>
      <c r="H30" s="555"/>
      <c r="I30" s="576" t="s">
        <v>3003</v>
      </c>
      <c r="J30" s="555"/>
      <c r="K30" s="531"/>
      <c r="L30" s="2135"/>
      <c r="M30" s="2132"/>
      <c r="N30" s="2132"/>
      <c r="O30" s="2137"/>
      <c r="P30" s="3400"/>
      <c r="Q30" s="1150"/>
      <c r="R30" s="1567"/>
      <c r="S30" s="1568"/>
      <c r="T30" s="1567"/>
      <c r="U30" s="1568"/>
      <c r="V30" s="1567"/>
      <c r="W30" s="1568"/>
      <c r="X30" s="1569"/>
      <c r="Y30" s="3400"/>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5"/>
      <c r="M31" s="2132"/>
      <c r="N31" s="2132"/>
      <c r="O31" s="2137"/>
      <c r="P31" s="3400"/>
      <c r="Q31" s="2578" t="str">
        <f t="shared" ref="Q31" si="9">B31</f>
        <v>基础设施水平</v>
      </c>
      <c r="R31" s="1567" t="s">
        <v>8</v>
      </c>
      <c r="S31" s="1568">
        <f>F31</f>
        <v>100</v>
      </c>
      <c r="T31" s="1567" t="s">
        <v>8</v>
      </c>
      <c r="U31" s="1568">
        <f>H31</f>
        <v>100</v>
      </c>
      <c r="V31" s="1567" t="s">
        <v>8</v>
      </c>
      <c r="W31" s="1568">
        <f>J31</f>
        <v>100</v>
      </c>
      <c r="X31" s="1569"/>
      <c r="Y31" s="3400"/>
      <c r="Z31" s="2575" t="str">
        <f>Q31</f>
        <v>基础设施水平</v>
      </c>
      <c r="AA31" s="1575">
        <f>D31/F31</f>
        <v>1</v>
      </c>
      <c r="AB31" s="1575">
        <f>D31/H31</f>
        <v>1</v>
      </c>
      <c r="AC31" s="1575">
        <f>D31/J31</f>
        <v>1</v>
      </c>
    </row>
    <row r="32" spans="1:29" s="1219" customFormat="1" ht="20.25">
      <c r="A32" s="577"/>
      <c r="B32" s="566"/>
      <c r="C32" s="579" t="s">
        <v>3024</v>
      </c>
      <c r="D32" s="557"/>
      <c r="E32" s="2592" t="s">
        <v>3024</v>
      </c>
      <c r="F32" s="555"/>
      <c r="G32" s="579" t="s">
        <v>3024</v>
      </c>
      <c r="H32" s="555"/>
      <c r="I32" s="579" t="s">
        <v>3024</v>
      </c>
      <c r="J32" s="555"/>
      <c r="K32" s="531"/>
      <c r="L32" s="2135"/>
      <c r="M32" s="2132"/>
      <c r="N32" s="2132"/>
      <c r="O32" s="2137"/>
      <c r="P32" s="3400"/>
      <c r="Q32" s="2578"/>
      <c r="R32" s="1567"/>
      <c r="S32" s="1568"/>
      <c r="T32" s="1567"/>
      <c r="U32" s="1568"/>
      <c r="V32" s="1567"/>
      <c r="W32" s="1568"/>
      <c r="X32" s="1569"/>
      <c r="Y32" s="3400"/>
      <c r="Z32" s="2575"/>
      <c r="AA32" s="1575">
        <v>1</v>
      </c>
      <c r="AB32" s="1575">
        <v>1</v>
      </c>
      <c r="AC32" s="1575">
        <v>1</v>
      </c>
    </row>
    <row r="33" spans="1:29" ht="20.25">
      <c r="A33" s="532"/>
      <c r="B33" s="566" t="s">
        <v>546</v>
      </c>
      <c r="C33" s="580" t="s">
        <v>3151</v>
      </c>
      <c r="D33" s="575">
        <v>100</v>
      </c>
      <c r="E33" s="583" t="s">
        <v>3151</v>
      </c>
      <c r="F33" s="540">
        <f>SUMIF(106:106,E33,107:107)-SUMIF(106:106,C33,107:107)+100</f>
        <v>100</v>
      </c>
      <c r="G33" s="580" t="s">
        <v>3151</v>
      </c>
      <c r="H33" s="540">
        <f>SUMIF(106:106,G33,107:107)-SUMIF(106:106,C33,107:107)+100</f>
        <v>100</v>
      </c>
      <c r="I33" s="580" t="s">
        <v>3151</v>
      </c>
      <c r="J33" s="540">
        <f>SUMIF(106:106,I33,107:107)-SUMIF(106:106,C33,107:107)+100</f>
        <v>100</v>
      </c>
      <c r="K33" s="535">
        <v>1</v>
      </c>
      <c r="L33" s="2142"/>
      <c r="M33" s="2132"/>
      <c r="N33" s="2132"/>
      <c r="O33" s="2141"/>
      <c r="P33" s="340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0"/>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00"/>
      <c r="Q34" s="1571" t="str">
        <f t="shared" si="8"/>
        <v>毗邻道路的类型与等级</v>
      </c>
      <c r="R34" s="1572" t="s">
        <v>8</v>
      </c>
      <c r="S34" s="1573">
        <f t="shared" si="10"/>
        <v>100</v>
      </c>
      <c r="T34" s="1572" t="s">
        <v>8</v>
      </c>
      <c r="U34" s="1573">
        <f t="shared" si="11"/>
        <v>100</v>
      </c>
      <c r="V34" s="1572" t="s">
        <v>8</v>
      </c>
      <c r="W34" s="1573">
        <f t="shared" si="12"/>
        <v>100</v>
      </c>
      <c r="X34" s="1566"/>
      <c r="Y34" s="3400"/>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400"/>
      <c r="Q35" s="1571"/>
      <c r="R35" s="1572"/>
      <c r="S35" s="1573"/>
      <c r="T35" s="1572"/>
      <c r="U35" s="1573"/>
      <c r="V35" s="1572"/>
      <c r="W35" s="1573"/>
      <c r="X35" s="1566"/>
      <c r="Y35" s="3400"/>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0"/>
      <c r="Q36" s="1571" t="str">
        <f t="shared" si="8"/>
        <v>土地级别</v>
      </c>
      <c r="R36" s="1572" t="s">
        <v>8</v>
      </c>
      <c r="S36" s="1573">
        <f t="shared" si="10"/>
        <v>100</v>
      </c>
      <c r="T36" s="1572" t="s">
        <v>8</v>
      </c>
      <c r="U36" s="1573">
        <f t="shared" si="11"/>
        <v>100</v>
      </c>
      <c r="V36" s="1572" t="s">
        <v>8</v>
      </c>
      <c r="W36" s="1573">
        <f t="shared" si="12"/>
        <v>100</v>
      </c>
      <c r="X36" s="1566"/>
      <c r="Y36" s="3400"/>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0"/>
      <c r="Q37" s="1571">
        <f t="shared" si="8"/>
        <v>111</v>
      </c>
      <c r="R37" s="1572" t="s">
        <v>8</v>
      </c>
      <c r="S37" s="1573">
        <f t="shared" si="10"/>
        <v>100</v>
      </c>
      <c r="T37" s="1572" t="s">
        <v>8</v>
      </c>
      <c r="U37" s="1573">
        <f t="shared" si="11"/>
        <v>100</v>
      </c>
      <c r="V37" s="1572" t="s">
        <v>8</v>
      </c>
      <c r="W37" s="1573">
        <f t="shared" si="12"/>
        <v>100</v>
      </c>
      <c r="X37" s="1566"/>
      <c r="Y37" s="3400"/>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1" t="s">
        <v>549</v>
      </c>
      <c r="Q38" s="1571">
        <f t="shared" si="8"/>
        <v>111</v>
      </c>
      <c r="R38" s="1572" t="s">
        <v>8</v>
      </c>
      <c r="S38" s="1573">
        <f t="shared" si="10"/>
        <v>100</v>
      </c>
      <c r="T38" s="1572" t="s">
        <v>8</v>
      </c>
      <c r="U38" s="1573">
        <f t="shared" si="11"/>
        <v>100</v>
      </c>
      <c r="V38" s="1572" t="s">
        <v>8</v>
      </c>
      <c r="W38" s="1573">
        <f t="shared" si="12"/>
        <v>100</v>
      </c>
      <c r="X38" s="1566"/>
      <c r="Y38" s="3402"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2"/>
      <c r="Q39" s="1571">
        <f t="shared" si="8"/>
        <v>111</v>
      </c>
      <c r="R39" s="1576" t="s">
        <v>8</v>
      </c>
      <c r="S39" s="1577">
        <f t="shared" si="10"/>
        <v>100</v>
      </c>
      <c r="T39" s="1576" t="s">
        <v>8</v>
      </c>
      <c r="U39" s="1577">
        <f t="shared" si="11"/>
        <v>100</v>
      </c>
      <c r="V39" s="1576" t="s">
        <v>8</v>
      </c>
      <c r="W39" s="1577">
        <f t="shared" si="12"/>
        <v>100</v>
      </c>
      <c r="X39" s="1578"/>
      <c r="Y39" s="3402"/>
      <c r="Z39" s="1579">
        <f t="shared" si="13"/>
        <v>111</v>
      </c>
      <c r="AA39" s="1575">
        <f t="shared" si="3"/>
        <v>1</v>
      </c>
      <c r="AB39" s="1575">
        <f t="shared" si="4"/>
        <v>1</v>
      </c>
      <c r="AC39" s="1575">
        <f t="shared" si="5"/>
        <v>1</v>
      </c>
    </row>
    <row r="40" spans="1:29" ht="20.25">
      <c r="A40" s="2907" t="s">
        <v>2757</v>
      </c>
      <c r="B40" s="595" t="s">
        <v>551</v>
      </c>
      <c r="C40" s="596">
        <f>'数据-基础表'!A3</f>
        <v>6614</v>
      </c>
      <c r="D40" s="597">
        <v>100</v>
      </c>
      <c r="E40" s="596">
        <v>26269</v>
      </c>
      <c r="F40" s="597">
        <f>LOOKUP(E40,119:119,120:120)-LOOKUP(C40,119:119,120:120)+100</f>
        <v>106</v>
      </c>
      <c r="G40" s="596">
        <v>16514</v>
      </c>
      <c r="H40" s="597">
        <f>LOOKUP(G40,119:119,120:120)-LOOKUP(C40,119:119,120:120)+100</f>
        <v>104</v>
      </c>
      <c r="I40" s="598">
        <v>6465</v>
      </c>
      <c r="J40" s="597">
        <f>LOOKUP(I40,119:119,120:120)-LOOKUP(C40,119:119,120:120)+100</f>
        <v>100</v>
      </c>
      <c r="K40" s="581"/>
      <c r="L40" s="2142"/>
      <c r="M40" s="2132"/>
      <c r="N40" s="2132"/>
      <c r="O40" s="2141"/>
      <c r="P40" s="3402"/>
      <c r="Q40" s="1571" t="str">
        <f>B40</f>
        <v>宗地面积</v>
      </c>
      <c r="R40" s="1572" t="s">
        <v>8</v>
      </c>
      <c r="S40" s="1573">
        <f t="shared" si="10"/>
        <v>106</v>
      </c>
      <c r="T40" s="1572" t="s">
        <v>8</v>
      </c>
      <c r="U40" s="1573">
        <f t="shared" si="11"/>
        <v>104</v>
      </c>
      <c r="V40" s="1572" t="s">
        <v>8</v>
      </c>
      <c r="W40" s="1573">
        <f t="shared" si="12"/>
        <v>100</v>
      </c>
      <c r="X40" s="1566"/>
      <c r="Y40" s="3402"/>
      <c r="Z40" s="1574" t="str">
        <f t="shared" si="13"/>
        <v>宗地面积</v>
      </c>
      <c r="AA40" s="1575">
        <f t="shared" si="3"/>
        <v>0.94339622641509435</v>
      </c>
      <c r="AB40" s="1575">
        <f t="shared" si="4"/>
        <v>0.96153846153846156</v>
      </c>
      <c r="AC40" s="1575">
        <f t="shared" si="5"/>
        <v>1</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02"/>
      <c r="Q41" s="1571" t="str">
        <f t="shared" ref="Q41:Q47" si="14">B41</f>
        <v>宗地形状</v>
      </c>
      <c r="R41" s="1572" t="s">
        <v>8</v>
      </c>
      <c r="S41" s="1573">
        <f t="shared" si="10"/>
        <v>100</v>
      </c>
      <c r="T41" s="1572" t="s">
        <v>8</v>
      </c>
      <c r="U41" s="1573">
        <f t="shared" si="11"/>
        <v>100</v>
      </c>
      <c r="V41" s="1572" t="s">
        <v>8</v>
      </c>
      <c r="W41" s="1573">
        <f t="shared" si="12"/>
        <v>100</v>
      </c>
      <c r="X41" s="1566"/>
      <c r="Y41" s="3402"/>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2"/>
      <c r="Q42" s="1571" t="str">
        <f t="shared" si="14"/>
        <v>临街宽度及深度</v>
      </c>
      <c r="R42" s="1572" t="s">
        <v>8</v>
      </c>
      <c r="S42" s="1573">
        <f t="shared" si="10"/>
        <v>100</v>
      </c>
      <c r="T42" s="1572" t="s">
        <v>8</v>
      </c>
      <c r="U42" s="1573">
        <f t="shared" si="11"/>
        <v>100</v>
      </c>
      <c r="V42" s="1572" t="s">
        <v>8</v>
      </c>
      <c r="W42" s="1573">
        <f t="shared" si="12"/>
        <v>100</v>
      </c>
      <c r="X42" s="1566"/>
      <c r="Y42" s="3402"/>
      <c r="Z42" s="1574" t="str">
        <f t="shared" si="13"/>
        <v>临街宽度及深度</v>
      </c>
      <c r="AA42" s="1575">
        <f t="shared" si="3"/>
        <v>1</v>
      </c>
      <c r="AB42" s="1575">
        <f t="shared" si="4"/>
        <v>1</v>
      </c>
      <c r="AC42" s="1575">
        <f t="shared" si="5"/>
        <v>1</v>
      </c>
    </row>
    <row r="43" spans="1:29" s="1219" customFormat="1" ht="20.25">
      <c r="A43" s="600"/>
      <c r="B43" s="1895" t="s">
        <v>2426</v>
      </c>
      <c r="C43" s="601" t="s">
        <v>3161</v>
      </c>
      <c r="D43" s="255">
        <v>100</v>
      </c>
      <c r="E43" s="601" t="s">
        <v>3161</v>
      </c>
      <c r="F43" s="540">
        <f>SUMIF(125:125,E43,126:126)-SUMIF(125:125,C43,126:126)+100</f>
        <v>100</v>
      </c>
      <c r="G43" s="601" t="s">
        <v>3161</v>
      </c>
      <c r="H43" s="540">
        <f>SUMIF(125:125,G43,126:126)-SUMIF(125:125,C43,126:126)+100</f>
        <v>100</v>
      </c>
      <c r="I43" s="601" t="s">
        <v>3161</v>
      </c>
      <c r="J43" s="540">
        <f>SUMIF(125:125,I43,126:126)-SUMIF(125:125,C43,126:126)+100</f>
        <v>100</v>
      </c>
      <c r="K43" s="584">
        <v>20</v>
      </c>
      <c r="L43" s="2135"/>
      <c r="M43" s="2132"/>
      <c r="N43" s="2132"/>
      <c r="O43" s="2137"/>
      <c r="P43" s="3402"/>
      <c r="Q43" s="1571" t="str">
        <f t="shared" si="14"/>
        <v>宗地开发程度</v>
      </c>
      <c r="R43" s="1567" t="s">
        <v>8</v>
      </c>
      <c r="S43" s="1568">
        <f t="shared" si="10"/>
        <v>100</v>
      </c>
      <c r="T43" s="1567" t="s">
        <v>8</v>
      </c>
      <c r="U43" s="1568">
        <f t="shared" si="11"/>
        <v>100</v>
      </c>
      <c r="V43" s="1567" t="s">
        <v>8</v>
      </c>
      <c r="W43" s="1568">
        <f t="shared" si="12"/>
        <v>100</v>
      </c>
      <c r="X43" s="1569"/>
      <c r="Y43" s="3402"/>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2" t="s">
        <v>549</v>
      </c>
      <c r="Q44" s="1571" t="str">
        <f t="shared" si="14"/>
        <v>工程地质条件</v>
      </c>
      <c r="R44" s="1572" t="s">
        <v>8</v>
      </c>
      <c r="S44" s="1573">
        <f t="shared" si="10"/>
        <v>100</v>
      </c>
      <c r="T44" s="1572" t="s">
        <v>8</v>
      </c>
      <c r="U44" s="1573">
        <f t="shared" si="11"/>
        <v>100</v>
      </c>
      <c r="V44" s="1572" t="s">
        <v>8</v>
      </c>
      <c r="W44" s="1573">
        <f t="shared" si="12"/>
        <v>100</v>
      </c>
      <c r="X44" s="1566"/>
      <c r="Y44" s="3402"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2"/>
      <c r="Q45" s="1571">
        <f t="shared" si="14"/>
        <v>111</v>
      </c>
      <c r="R45" s="1572" t="s">
        <v>8</v>
      </c>
      <c r="S45" s="1573">
        <f t="shared" si="10"/>
        <v>100</v>
      </c>
      <c r="T45" s="1572" t="s">
        <v>8</v>
      </c>
      <c r="U45" s="1573">
        <f t="shared" si="11"/>
        <v>100</v>
      </c>
      <c r="V45" s="1572" t="s">
        <v>8</v>
      </c>
      <c r="W45" s="1573">
        <f t="shared" si="12"/>
        <v>100</v>
      </c>
      <c r="X45" s="1566"/>
      <c r="Y45" s="3402"/>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2"/>
      <c r="Q46" s="1571">
        <f t="shared" si="14"/>
        <v>111</v>
      </c>
      <c r="R46" s="1572" t="s">
        <v>8</v>
      </c>
      <c r="S46" s="1573">
        <f t="shared" si="10"/>
        <v>100</v>
      </c>
      <c r="T46" s="1572" t="s">
        <v>8</v>
      </c>
      <c r="U46" s="1573">
        <f t="shared" si="11"/>
        <v>100</v>
      </c>
      <c r="V46" s="1572" t="s">
        <v>8</v>
      </c>
      <c r="W46" s="1573">
        <f t="shared" si="12"/>
        <v>100</v>
      </c>
      <c r="X46" s="1566"/>
      <c r="Y46" s="3402"/>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2"/>
      <c r="Q47" s="1571">
        <f t="shared" si="14"/>
        <v>111</v>
      </c>
      <c r="R47" s="1576" t="s">
        <v>8</v>
      </c>
      <c r="S47" s="1577">
        <f t="shared" si="10"/>
        <v>100</v>
      </c>
      <c r="T47" s="1576" t="s">
        <v>8</v>
      </c>
      <c r="U47" s="1577">
        <f t="shared" si="11"/>
        <v>100</v>
      </c>
      <c r="V47" s="1576" t="s">
        <v>8</v>
      </c>
      <c r="W47" s="1577">
        <f t="shared" si="12"/>
        <v>100</v>
      </c>
      <c r="X47" s="1578"/>
      <c r="Y47" s="3402"/>
      <c r="Z47" s="1579">
        <f t="shared" si="13"/>
        <v>111</v>
      </c>
      <c r="AA47" s="1575">
        <f t="shared" si="3"/>
        <v>1</v>
      </c>
      <c r="AB47" s="1575">
        <f t="shared" si="4"/>
        <v>1</v>
      </c>
      <c r="AC47" s="1575">
        <f t="shared" si="5"/>
        <v>1</v>
      </c>
    </row>
    <row r="48" spans="1:29" ht="20.25">
      <c r="A48" s="607" t="s">
        <v>555</v>
      </c>
      <c r="B48" s="608" t="s">
        <v>3150</v>
      </c>
      <c r="C48" s="609" t="s">
        <v>1</v>
      </c>
      <c r="D48" s="610"/>
      <c r="E48" s="611">
        <v>1428</v>
      </c>
      <c r="F48" s="612"/>
      <c r="G48" s="613">
        <v>1360</v>
      </c>
      <c r="H48" s="614"/>
      <c r="I48" s="611">
        <v>1260</v>
      </c>
      <c r="J48" s="614"/>
      <c r="K48" s="1339"/>
      <c r="L48" s="2144"/>
      <c r="M48" s="2132"/>
      <c r="N48" s="2132"/>
      <c r="O48" s="2145"/>
      <c r="P48" s="3365" t="str">
        <f>A48</f>
        <v>成交单价</v>
      </c>
      <c r="Q48" s="3365"/>
      <c r="R48" s="3366">
        <f>E48</f>
        <v>1428</v>
      </c>
      <c r="S48" s="3366"/>
      <c r="T48" s="3366">
        <f>G48</f>
        <v>1360</v>
      </c>
      <c r="U48" s="3366"/>
      <c r="V48" s="3366">
        <f>I48</f>
        <v>1260</v>
      </c>
      <c r="W48" s="3366"/>
      <c r="X48" s="1558"/>
      <c r="Y48" s="1580"/>
      <c r="Z48" s="1558"/>
      <c r="AA48" s="1558"/>
      <c r="AB48" s="1558"/>
      <c r="AC48" s="1558"/>
    </row>
    <row r="49" spans="1:29" ht="21" thickBot="1">
      <c r="A49" s="615" t="s">
        <v>2695</v>
      </c>
      <c r="B49" s="616"/>
      <c r="C49" s="617">
        <f>R50</f>
        <v>1447</v>
      </c>
      <c r="D49" s="618"/>
      <c r="E49" s="617">
        <f>R49</f>
        <v>1593</v>
      </c>
      <c r="F49" s="619"/>
      <c r="G49" s="620">
        <f>T49</f>
        <v>1364</v>
      </c>
      <c r="H49" s="618"/>
      <c r="I49" s="617">
        <f>V49</f>
        <v>1383</v>
      </c>
      <c r="J49" s="618"/>
      <c r="K49" s="1340"/>
      <c r="L49" s="2144"/>
      <c r="M49" s="2132"/>
      <c r="N49" s="2132"/>
      <c r="O49" s="2145"/>
      <c r="P49" s="3365" t="str">
        <f>A49</f>
        <v>比较价格（元/平方米）</v>
      </c>
      <c r="Q49" s="3365"/>
      <c r="R49" s="3367">
        <f>ROUND(PRODUCT(R48,AA9:AA47),0)</f>
        <v>1593</v>
      </c>
      <c r="S49" s="3367"/>
      <c r="T49" s="3367">
        <f>ROUND(PRODUCT(T48,AB9:AB47),0)</f>
        <v>1364</v>
      </c>
      <c r="U49" s="3367"/>
      <c r="V49" s="3367">
        <f>ROUND(PRODUCT(V48,AC9:AC47),0)</f>
        <v>1383</v>
      </c>
      <c r="W49" s="3367"/>
      <c r="X49" s="1558"/>
      <c r="Y49" s="1558"/>
      <c r="Z49" s="1558"/>
      <c r="AA49" s="1558"/>
      <c r="AB49" s="1558"/>
      <c r="AC49" s="1558"/>
    </row>
    <row r="50" spans="1:29" ht="21" thickBot="1">
      <c r="A50" s="621" t="s">
        <v>2939</v>
      </c>
      <c r="B50" s="622"/>
      <c r="C50" s="623">
        <f>R50</f>
        <v>1447</v>
      </c>
      <c r="D50" s="623"/>
      <c r="E50" s="623"/>
      <c r="F50" s="623"/>
      <c r="G50" s="623"/>
      <c r="H50" s="623"/>
      <c r="I50" s="623"/>
      <c r="J50" s="623"/>
      <c r="K50" s="1341"/>
      <c r="L50" s="2144"/>
      <c r="M50" s="2132"/>
      <c r="N50" s="2132"/>
      <c r="O50" s="2145"/>
      <c r="P50" s="3362" t="str">
        <f>A50</f>
        <v>估价对象XX用房的比较价格（楼面单价，元/平方米）</v>
      </c>
      <c r="Q50" s="3363"/>
      <c r="R50" s="3364">
        <f>ROUND(AVERAGE(R49:V49),0)</f>
        <v>1447</v>
      </c>
      <c r="S50" s="3364"/>
      <c r="T50" s="3364"/>
      <c r="U50" s="3364"/>
      <c r="V50" s="3364"/>
      <c r="W50" s="336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0.11554621848739499</v>
      </c>
      <c r="F53" s="627" t="str">
        <f>IF(OR(E53&gt;=0.3,E53&lt;=-0.3),"超过30%","")</f>
        <v/>
      </c>
      <c r="G53" s="626">
        <f>IF(G48&lt;G49,G49/G48-1,G48/G49-1)</f>
        <v>2.9411764705882248E-3</v>
      </c>
      <c r="H53" s="627" t="str">
        <f>IF(OR(G53&gt;=0.3,G53&lt;=-0.3),"超过30%","")</f>
        <v/>
      </c>
      <c r="I53" s="626">
        <f>IF(I48&lt;I49,I49/I48-1,I48/I49-1)</f>
        <v>9.7619047619047716E-2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0.16788856304985345</v>
      </c>
      <c r="F54" s="627" t="str">
        <f>IF(OR(E54&gt;=0.2,E54&lt;=-0.2),"超过20%","")</f>
        <v/>
      </c>
      <c r="G54" s="626">
        <f>IF(G49&lt;I49,I49/G49-1,G49/I49-1)</f>
        <v>1.3929618768328433E-2</v>
      </c>
      <c r="H54" s="627" t="str">
        <f>IF(OR(G54&gt;=0.2,G54&lt;=-0.2),"超过20%","")</f>
        <v/>
      </c>
      <c r="I54" s="626">
        <f>IF(I49&lt;E49,E49/I49-1,I49/E49-1)</f>
        <v>0.15184381778741862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91" t="s">
        <v>2283</v>
      </c>
      <c r="H57" s="3392"/>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1447</v>
      </c>
      <c r="C58" s="635">
        <v>1</v>
      </c>
      <c r="D58" s="2228">
        <v>1</v>
      </c>
      <c r="E58" s="635">
        <f>'数据-汇总表'!E8+'数据-汇总表'!E9</f>
        <v>7937</v>
      </c>
      <c r="F58" s="636">
        <f t="shared" ref="F58:F67" si="15">ROUND(B58*E58/10000,0)</f>
        <v>1148</v>
      </c>
      <c r="G58" s="3393"/>
      <c r="H58" s="339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95"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9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9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9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7937</v>
      </c>
      <c r="F68" s="644">
        <f>IF(B48="楼面地价",SUM(F58:F67),ROUND(C50*E68/10000,0))</f>
        <v>1148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3160</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97</v>
      </c>
      <c r="E105" s="679">
        <f>D105-$K31</f>
        <v>94</v>
      </c>
      <c r="F105" s="679">
        <f>E105-$K31</f>
        <v>91</v>
      </c>
      <c r="G105" s="679">
        <f>F105-$K31</f>
        <v>88</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3143</v>
      </c>
      <c r="D108" s="3180" t="s">
        <v>3144</v>
      </c>
      <c r="E108" s="3180" t="s">
        <v>3145</v>
      </c>
      <c r="F108" s="3180" t="s">
        <v>3146</v>
      </c>
      <c r="G108" s="3180" t="s">
        <v>3147</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v>0</v>
      </c>
      <c r="D121" s="718">
        <v>2000</v>
      </c>
      <c r="E121" s="718">
        <v>5000</v>
      </c>
      <c r="F121" s="718">
        <v>10000</v>
      </c>
      <c r="G121" s="718">
        <v>20000</v>
      </c>
      <c r="H121" s="718">
        <v>3000</v>
      </c>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3162</v>
      </c>
      <c r="D125" s="1375" t="s">
        <v>3163</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71" t="s">
        <v>521</v>
      </c>
      <c r="D6" s="3372"/>
      <c r="E6" s="3406" t="s">
        <v>522</v>
      </c>
      <c r="F6" s="3407"/>
      <c r="G6" s="3371" t="s">
        <v>523</v>
      </c>
      <c r="H6" s="3372"/>
      <c r="I6" s="3371" t="s">
        <v>524</v>
      </c>
      <c r="J6" s="3372"/>
      <c r="K6" s="514" t="s">
        <v>525</v>
      </c>
      <c r="L6" s="2133"/>
      <c r="M6" s="2134"/>
      <c r="N6" s="2134"/>
      <c r="O6" s="2134"/>
      <c r="P6" s="3373" t="s">
        <v>526</v>
      </c>
      <c r="Q6" s="3374"/>
      <c r="R6" s="3379" t="s">
        <v>522</v>
      </c>
      <c r="S6" s="3380"/>
      <c r="T6" s="3379" t="s">
        <v>523</v>
      </c>
      <c r="U6" s="3380"/>
      <c r="V6" s="3366" t="s">
        <v>524</v>
      </c>
      <c r="W6" s="3366"/>
      <c r="X6" s="1566"/>
      <c r="Y6" s="3379" t="s">
        <v>526</v>
      </c>
      <c r="Z6" s="3380"/>
      <c r="AA6" s="3368" t="s">
        <v>522</v>
      </c>
      <c r="AB6" s="3369" t="s">
        <v>523</v>
      </c>
      <c r="AC6" s="3368" t="s">
        <v>524</v>
      </c>
    </row>
    <row r="7" spans="1:29" ht="15">
      <c r="A7" s="515"/>
      <c r="B7" s="516"/>
      <c r="C7" s="3403" t="s">
        <v>2933</v>
      </c>
      <c r="D7" s="3388"/>
      <c r="E7" s="3408" t="s">
        <v>2934</v>
      </c>
      <c r="F7" s="3409"/>
      <c r="G7" s="3403" t="s">
        <v>2935</v>
      </c>
      <c r="H7" s="3388"/>
      <c r="I7" s="3403" t="s">
        <v>2936</v>
      </c>
      <c r="J7" s="3388"/>
      <c r="K7" s="514"/>
      <c r="L7" s="2133"/>
      <c r="M7" s="2134"/>
      <c r="N7" s="2134"/>
      <c r="O7" s="2134"/>
      <c r="P7" s="3375"/>
      <c r="Q7" s="3376"/>
      <c r="R7" s="3381"/>
      <c r="S7" s="3382"/>
      <c r="T7" s="3381"/>
      <c r="U7" s="3382"/>
      <c r="V7" s="3366"/>
      <c r="W7" s="3366"/>
      <c r="X7" s="1566"/>
      <c r="Y7" s="3381"/>
      <c r="Z7" s="3382"/>
      <c r="AA7" s="3369"/>
      <c r="AB7" s="3369"/>
      <c r="AC7" s="3369"/>
    </row>
    <row r="8" spans="1:29" ht="15.75" thickBot="1">
      <c r="A8" s="517"/>
      <c r="B8" s="518"/>
      <c r="C8" s="3385" t="s">
        <v>2937</v>
      </c>
      <c r="D8" s="3386"/>
      <c r="E8" s="3404" t="s">
        <v>2937</v>
      </c>
      <c r="F8" s="3405"/>
      <c r="G8" s="3385" t="s">
        <v>2937</v>
      </c>
      <c r="H8" s="3386"/>
      <c r="I8" s="3385" t="s">
        <v>2937</v>
      </c>
      <c r="J8" s="3386"/>
      <c r="K8" s="514" t="s">
        <v>527</v>
      </c>
      <c r="L8" s="2133"/>
      <c r="M8" s="2134"/>
      <c r="N8" s="2134"/>
      <c r="O8" s="2134"/>
      <c r="P8" s="3377"/>
      <c r="Q8" s="3378"/>
      <c r="R8" s="3381"/>
      <c r="S8" s="3382"/>
      <c r="T8" s="3383"/>
      <c r="U8" s="3384"/>
      <c r="V8" s="3366"/>
      <c r="W8" s="3366"/>
      <c r="X8" s="1566"/>
      <c r="Y8" s="3383"/>
      <c r="Z8" s="3384"/>
      <c r="AA8" s="3370"/>
      <c r="AB8" s="3370"/>
      <c r="AC8" s="3370"/>
    </row>
    <row r="9" spans="1:29" s="1219" customFormat="1" ht="15.7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6" t="s">
        <v>529</v>
      </c>
      <c r="Q9" s="3398"/>
      <c r="R9" s="1567" t="s">
        <v>8</v>
      </c>
      <c r="S9" s="1568">
        <f t="shared" ref="S9:S17" si="0">F9</f>
        <v>0</v>
      </c>
      <c r="T9" s="1567" t="s">
        <v>8</v>
      </c>
      <c r="U9" s="1568">
        <f t="shared" ref="U9:U17" si="1">H9</f>
        <v>0</v>
      </c>
      <c r="V9" s="1567" t="s">
        <v>8</v>
      </c>
      <c r="W9" s="1568">
        <f t="shared" ref="W9:W17" si="2">J9</f>
        <v>0</v>
      </c>
      <c r="X9" s="1569"/>
      <c r="Y9" s="3396" t="s">
        <v>529</v>
      </c>
      <c r="Z9" s="3397"/>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6" t="s">
        <v>532</v>
      </c>
      <c r="Q10" s="3397"/>
      <c r="R10" s="1567" t="s">
        <v>8</v>
      </c>
      <c r="S10" s="1568">
        <f t="shared" si="0"/>
        <v>0</v>
      </c>
      <c r="T10" s="1567" t="s">
        <v>8</v>
      </c>
      <c r="U10" s="1568">
        <f t="shared" si="1"/>
        <v>0</v>
      </c>
      <c r="V10" s="1567" t="s">
        <v>8</v>
      </c>
      <c r="W10" s="1568">
        <f t="shared" si="2"/>
        <v>0</v>
      </c>
      <c r="X10" s="1569"/>
      <c r="Y10" s="3396" t="s">
        <v>532</v>
      </c>
      <c r="Z10" s="3397"/>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5" t="s">
        <v>534</v>
      </c>
      <c r="Q11" s="1150" t="str">
        <f t="shared" ref="Q11:Q17" si="6">B11</f>
        <v>用途</v>
      </c>
      <c r="R11" s="1567" t="s">
        <v>8</v>
      </c>
      <c r="S11" s="1568">
        <f t="shared" si="0"/>
        <v>100</v>
      </c>
      <c r="T11" s="1567" t="s">
        <v>8</v>
      </c>
      <c r="U11" s="1568">
        <f t="shared" si="1"/>
        <v>100</v>
      </c>
      <c r="V11" s="1567" t="s">
        <v>8</v>
      </c>
      <c r="W11" s="1568">
        <f t="shared" si="2"/>
        <v>100</v>
      </c>
      <c r="X11" s="1569"/>
      <c r="Y11" s="3311"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65"/>
      <c r="Q12" s="1150" t="str">
        <f t="shared" si="6"/>
        <v>土地使用年限（年）</v>
      </c>
      <c r="R12" s="1567" t="s">
        <v>8</v>
      </c>
      <c r="S12" s="1568">
        <f t="shared" si="0"/>
        <v>103</v>
      </c>
      <c r="T12" s="1567" t="s">
        <v>8</v>
      </c>
      <c r="U12" s="1568">
        <f t="shared" si="1"/>
        <v>103</v>
      </c>
      <c r="V12" s="1567" t="s">
        <v>8</v>
      </c>
      <c r="W12" s="1568">
        <f t="shared" si="2"/>
        <v>103</v>
      </c>
      <c r="X12" s="1569"/>
      <c r="Y12" s="3311"/>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5"/>
      <c r="Q13" s="1150" t="str">
        <f t="shared" si="6"/>
        <v>容积率</v>
      </c>
      <c r="R13" s="1567" t="s">
        <v>8</v>
      </c>
      <c r="S13" s="1568" t="e">
        <f t="shared" si="0"/>
        <v>#N/A</v>
      </c>
      <c r="T13" s="1567" t="s">
        <v>8</v>
      </c>
      <c r="U13" s="1568" t="e">
        <f t="shared" si="1"/>
        <v>#N/A</v>
      </c>
      <c r="V13" s="1567" t="s">
        <v>8</v>
      </c>
      <c r="W13" s="1568" t="e">
        <f t="shared" si="2"/>
        <v>#N/A</v>
      </c>
      <c r="X13" s="1569"/>
      <c r="Y13" s="3311"/>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5"/>
      <c r="Q15" s="1150">
        <f t="shared" si="6"/>
        <v>111</v>
      </c>
      <c r="R15" s="1567" t="s">
        <v>8</v>
      </c>
      <c r="S15" s="1568">
        <f t="shared" si="0"/>
        <v>100</v>
      </c>
      <c r="T15" s="1567" t="s">
        <v>8</v>
      </c>
      <c r="U15" s="1568">
        <f t="shared" si="1"/>
        <v>100</v>
      </c>
      <c r="V15" s="1567" t="s">
        <v>8</v>
      </c>
      <c r="W15" s="1568">
        <f t="shared" si="2"/>
        <v>100</v>
      </c>
      <c r="X15" s="1569"/>
      <c r="Y15" s="3311"/>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5"/>
      <c r="Q16" s="1150">
        <f t="shared" si="6"/>
        <v>111</v>
      </c>
      <c r="R16" s="1567" t="s">
        <v>8</v>
      </c>
      <c r="S16" s="1568">
        <f t="shared" si="0"/>
        <v>100</v>
      </c>
      <c r="T16" s="1567" t="s">
        <v>8</v>
      </c>
      <c r="U16" s="1568">
        <f t="shared" si="1"/>
        <v>100</v>
      </c>
      <c r="V16" s="1567" t="s">
        <v>8</v>
      </c>
      <c r="W16" s="1568">
        <f t="shared" si="2"/>
        <v>100</v>
      </c>
      <c r="X16" s="1569"/>
      <c r="Y16" s="3311"/>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9" t="s">
        <v>539</v>
      </c>
      <c r="Q17" s="1571" t="str">
        <f t="shared" si="6"/>
        <v>产业集聚程度</v>
      </c>
      <c r="R17" s="1572" t="s">
        <v>8</v>
      </c>
      <c r="S17" s="1573">
        <f t="shared" si="0"/>
        <v>100</v>
      </c>
      <c r="T17" s="1572" t="s">
        <v>8</v>
      </c>
      <c r="U17" s="1573">
        <f t="shared" si="1"/>
        <v>100</v>
      </c>
      <c r="V17" s="1572" t="s">
        <v>8</v>
      </c>
      <c r="W17" s="1573">
        <f t="shared" si="2"/>
        <v>100</v>
      </c>
      <c r="X17" s="1566"/>
      <c r="Y17" s="3399"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0"/>
      <c r="Q18" s="1571"/>
      <c r="R18" s="1572"/>
      <c r="S18" s="1573"/>
      <c r="T18" s="1572"/>
      <c r="U18" s="1573"/>
      <c r="V18" s="1572"/>
      <c r="W18" s="1573"/>
      <c r="X18" s="1566"/>
      <c r="Y18" s="3400"/>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0"/>
      <c r="Q19" s="1571" t="str">
        <f>B19</f>
        <v>交通便捷度</v>
      </c>
      <c r="R19" s="1572" t="s">
        <v>8</v>
      </c>
      <c r="S19" s="1573">
        <f>F19</f>
        <v>100</v>
      </c>
      <c r="T19" s="1572" t="s">
        <v>8</v>
      </c>
      <c r="U19" s="1573">
        <f>H19</f>
        <v>100</v>
      </c>
      <c r="V19" s="1572" t="s">
        <v>8</v>
      </c>
      <c r="W19" s="1573">
        <f>J19</f>
        <v>100</v>
      </c>
      <c r="X19" s="1566"/>
      <c r="Y19" s="3400"/>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0"/>
      <c r="Q21" s="1571" t="str">
        <f t="shared" ref="Q21:Q35" si="8">B21</f>
        <v>区域土地利用方向</v>
      </c>
      <c r="R21" s="1572" t="s">
        <v>8</v>
      </c>
      <c r="S21" s="1573">
        <f>F21</f>
        <v>100</v>
      </c>
      <c r="T21" s="1572" t="s">
        <v>8</v>
      </c>
      <c r="U21" s="1573">
        <f>H21</f>
        <v>100</v>
      </c>
      <c r="V21" s="1572" t="s">
        <v>8</v>
      </c>
      <c r="W21" s="1573">
        <f>J21</f>
        <v>100</v>
      </c>
      <c r="X21" s="1566"/>
      <c r="Y21" s="340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00"/>
      <c r="Q22" s="1571"/>
      <c r="R22" s="1572"/>
      <c r="S22" s="1573"/>
      <c r="T22" s="1572"/>
      <c r="U22" s="1573"/>
      <c r="V22" s="1572"/>
      <c r="W22" s="1573"/>
      <c r="X22" s="1566"/>
      <c r="Y22" s="3400"/>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0"/>
      <c r="Q23" s="1571" t="str">
        <f t="shared" si="8"/>
        <v>环境状况</v>
      </c>
      <c r="R23" s="1572" t="s">
        <v>8</v>
      </c>
      <c r="S23" s="1573">
        <f>F23</f>
        <v>100</v>
      </c>
      <c r="T23" s="1572" t="s">
        <v>8</v>
      </c>
      <c r="U23" s="1573">
        <f>H23</f>
        <v>100</v>
      </c>
      <c r="V23" s="1572" t="s">
        <v>8</v>
      </c>
      <c r="W23" s="1573">
        <f>J23</f>
        <v>100</v>
      </c>
      <c r="X23" s="1566"/>
      <c r="Y23" s="340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00"/>
      <c r="Q24" s="1571"/>
      <c r="R24" s="1572"/>
      <c r="S24" s="1573"/>
      <c r="T24" s="1572"/>
      <c r="U24" s="1573"/>
      <c r="V24" s="1572"/>
      <c r="W24" s="1573"/>
      <c r="X24" s="1566"/>
      <c r="Y24" s="3400"/>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0"/>
      <c r="Q25" s="1150" t="str">
        <f t="shared" si="8"/>
        <v>公共配套设施</v>
      </c>
      <c r="R25" s="1567" t="s">
        <v>8</v>
      </c>
      <c r="S25" s="1568">
        <f>F25</f>
        <v>100</v>
      </c>
      <c r="T25" s="1567" t="s">
        <v>8</v>
      </c>
      <c r="U25" s="1568">
        <f>H25</f>
        <v>100</v>
      </c>
      <c r="V25" s="1567" t="s">
        <v>8</v>
      </c>
      <c r="W25" s="1568">
        <f>J25</f>
        <v>100</v>
      </c>
      <c r="X25" s="1569"/>
      <c r="Y25" s="3400"/>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00"/>
      <c r="Q26" s="1150"/>
      <c r="R26" s="1567"/>
      <c r="S26" s="1568"/>
      <c r="T26" s="1567"/>
      <c r="U26" s="1568"/>
      <c r="V26" s="1567"/>
      <c r="W26" s="1568"/>
      <c r="X26" s="1569"/>
      <c r="Y26" s="3400"/>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0"/>
      <c r="Q27" s="2578" t="str">
        <f t="shared" ref="Q27" si="9">B27</f>
        <v>基础设施水平</v>
      </c>
      <c r="R27" s="1567" t="s">
        <v>8</v>
      </c>
      <c r="S27" s="1568">
        <f>F27</f>
        <v>100</v>
      </c>
      <c r="T27" s="1567" t="s">
        <v>8</v>
      </c>
      <c r="U27" s="1568">
        <f>H27</f>
        <v>100</v>
      </c>
      <c r="V27" s="1567" t="s">
        <v>8</v>
      </c>
      <c r="W27" s="1568">
        <f>J27</f>
        <v>100</v>
      </c>
      <c r="X27" s="1569"/>
      <c r="Y27" s="3400"/>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00"/>
      <c r="Q28" s="2578"/>
      <c r="R28" s="1567"/>
      <c r="S28" s="1568"/>
      <c r="T28" s="1567"/>
      <c r="U28" s="1568"/>
      <c r="V28" s="1567"/>
      <c r="W28" s="1568"/>
      <c r="X28" s="1569"/>
      <c r="Y28" s="3400"/>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0"/>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0"/>
      <c r="Q30" s="1571" t="str">
        <f t="shared" si="8"/>
        <v>毗邻道路的类型与等级</v>
      </c>
      <c r="R30" s="1572" t="s">
        <v>8</v>
      </c>
      <c r="S30" s="1573">
        <f t="shared" si="10"/>
        <v>100</v>
      </c>
      <c r="T30" s="1572" t="s">
        <v>8</v>
      </c>
      <c r="U30" s="1573">
        <f t="shared" si="11"/>
        <v>100</v>
      </c>
      <c r="V30" s="1572" t="s">
        <v>8</v>
      </c>
      <c r="W30" s="1573">
        <f t="shared" si="12"/>
        <v>100</v>
      </c>
      <c r="X30" s="1566"/>
      <c r="Y30" s="340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00"/>
      <c r="Q31" s="1571"/>
      <c r="R31" s="1572"/>
      <c r="S31" s="1573"/>
      <c r="T31" s="1572"/>
      <c r="U31" s="1573"/>
      <c r="V31" s="1572"/>
      <c r="W31" s="1573"/>
      <c r="X31" s="1566"/>
      <c r="Y31" s="3400"/>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0"/>
      <c r="Q32" s="1571" t="str">
        <f t="shared" si="8"/>
        <v>土地级别</v>
      </c>
      <c r="R32" s="1572" t="s">
        <v>8</v>
      </c>
      <c r="S32" s="1573">
        <f t="shared" si="10"/>
        <v>100</v>
      </c>
      <c r="T32" s="1572" t="s">
        <v>8</v>
      </c>
      <c r="U32" s="1573">
        <f t="shared" si="11"/>
        <v>100</v>
      </c>
      <c r="V32" s="1572" t="s">
        <v>8</v>
      </c>
      <c r="W32" s="1573">
        <f t="shared" si="12"/>
        <v>100</v>
      </c>
      <c r="X32" s="1566"/>
      <c r="Y32" s="340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0"/>
      <c r="Q33" s="1571">
        <f t="shared" si="8"/>
        <v>111</v>
      </c>
      <c r="R33" s="1572" t="s">
        <v>8</v>
      </c>
      <c r="S33" s="1573">
        <f t="shared" si="10"/>
        <v>100</v>
      </c>
      <c r="T33" s="1572" t="s">
        <v>8</v>
      </c>
      <c r="U33" s="1573">
        <f t="shared" si="11"/>
        <v>100</v>
      </c>
      <c r="V33" s="1572" t="s">
        <v>8</v>
      </c>
      <c r="W33" s="1573">
        <f t="shared" si="12"/>
        <v>100</v>
      </c>
      <c r="X33" s="1566"/>
      <c r="Y33" s="340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1" t="s">
        <v>549</v>
      </c>
      <c r="Q34" s="1571">
        <f t="shared" si="8"/>
        <v>111</v>
      </c>
      <c r="R34" s="1572" t="s">
        <v>8</v>
      </c>
      <c r="S34" s="1573">
        <f t="shared" si="10"/>
        <v>100</v>
      </c>
      <c r="T34" s="1572" t="s">
        <v>8</v>
      </c>
      <c r="U34" s="1573">
        <f t="shared" si="11"/>
        <v>100</v>
      </c>
      <c r="V34" s="1572" t="s">
        <v>8</v>
      </c>
      <c r="W34" s="1573">
        <f t="shared" si="12"/>
        <v>100</v>
      </c>
      <c r="X34" s="1566"/>
      <c r="Y34" s="3402"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2"/>
      <c r="Q35" s="1571">
        <f t="shared" si="8"/>
        <v>111</v>
      </c>
      <c r="R35" s="1576" t="s">
        <v>8</v>
      </c>
      <c r="S35" s="1577">
        <f t="shared" si="10"/>
        <v>100</v>
      </c>
      <c r="T35" s="1576" t="s">
        <v>8</v>
      </c>
      <c r="U35" s="1577">
        <f t="shared" si="11"/>
        <v>100</v>
      </c>
      <c r="V35" s="1576" t="s">
        <v>8</v>
      </c>
      <c r="W35" s="1577">
        <f t="shared" si="12"/>
        <v>100</v>
      </c>
      <c r="X35" s="1578"/>
      <c r="Y35" s="3402"/>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2"/>
      <c r="Q36" s="1571" t="str">
        <f>B36</f>
        <v>宗地面积</v>
      </c>
      <c r="R36" s="1572" t="s">
        <v>8</v>
      </c>
      <c r="S36" s="1573" t="e">
        <f t="shared" si="10"/>
        <v>#N/A</v>
      </c>
      <c r="T36" s="1572" t="s">
        <v>8</v>
      </c>
      <c r="U36" s="1573" t="e">
        <f t="shared" si="11"/>
        <v>#N/A</v>
      </c>
      <c r="V36" s="1572" t="s">
        <v>8</v>
      </c>
      <c r="W36" s="1573" t="e">
        <f t="shared" si="12"/>
        <v>#N/A</v>
      </c>
      <c r="X36" s="1566"/>
      <c r="Y36" s="3402"/>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2"/>
      <c r="Q37" s="1571" t="str">
        <f t="shared" ref="Q37:Q42" si="14">B37</f>
        <v>宗地形状</v>
      </c>
      <c r="R37" s="1572" t="s">
        <v>8</v>
      </c>
      <c r="S37" s="1573">
        <f t="shared" si="10"/>
        <v>100</v>
      </c>
      <c r="T37" s="1572" t="s">
        <v>8</v>
      </c>
      <c r="U37" s="1573">
        <f t="shared" si="11"/>
        <v>100</v>
      </c>
      <c r="V37" s="1572" t="s">
        <v>8</v>
      </c>
      <c r="W37" s="1573">
        <f t="shared" si="12"/>
        <v>100</v>
      </c>
      <c r="X37" s="1566"/>
      <c r="Y37" s="3402"/>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2"/>
      <c r="Q38" s="1571" t="str">
        <f t="shared" si="14"/>
        <v>宗地开发程度</v>
      </c>
      <c r="R38" s="1567" t="s">
        <v>8</v>
      </c>
      <c r="S38" s="1568">
        <f t="shared" si="10"/>
        <v>100</v>
      </c>
      <c r="T38" s="1567" t="s">
        <v>8</v>
      </c>
      <c r="U38" s="1568">
        <f t="shared" si="11"/>
        <v>100</v>
      </c>
      <c r="V38" s="1567" t="s">
        <v>8</v>
      </c>
      <c r="W38" s="1568">
        <f t="shared" si="12"/>
        <v>100</v>
      </c>
      <c r="X38" s="1569"/>
      <c r="Y38" s="3402"/>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t="s">
        <v>600</v>
      </c>
      <c r="Q39" s="1571" t="str">
        <f t="shared" si="14"/>
        <v>工程地质条件</v>
      </c>
      <c r="R39" s="1572" t="s">
        <v>8</v>
      </c>
      <c r="S39" s="1573">
        <f t="shared" si="10"/>
        <v>100</v>
      </c>
      <c r="T39" s="1572" t="s">
        <v>8</v>
      </c>
      <c r="U39" s="1573">
        <f t="shared" si="11"/>
        <v>100</v>
      </c>
      <c r="V39" s="1572" t="s">
        <v>8</v>
      </c>
      <c r="W39" s="1573">
        <f t="shared" si="12"/>
        <v>100</v>
      </c>
      <c r="X39" s="1566"/>
      <c r="Y39" s="3402"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2"/>
      <c r="Q40" s="1571">
        <f t="shared" si="14"/>
        <v>111</v>
      </c>
      <c r="R40" s="1572" t="s">
        <v>8</v>
      </c>
      <c r="S40" s="1573">
        <f t="shared" si="10"/>
        <v>100</v>
      </c>
      <c r="T40" s="1572" t="s">
        <v>8</v>
      </c>
      <c r="U40" s="1573">
        <f t="shared" si="11"/>
        <v>100</v>
      </c>
      <c r="V40" s="1572" t="s">
        <v>8</v>
      </c>
      <c r="W40" s="1573">
        <f t="shared" si="12"/>
        <v>100</v>
      </c>
      <c r="X40" s="1566"/>
      <c r="Y40" s="340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2"/>
      <c r="Q41" s="1571">
        <f t="shared" si="14"/>
        <v>111</v>
      </c>
      <c r="R41" s="1572" t="s">
        <v>8</v>
      </c>
      <c r="S41" s="1573">
        <f t="shared" si="10"/>
        <v>100</v>
      </c>
      <c r="T41" s="1572" t="s">
        <v>8</v>
      </c>
      <c r="U41" s="1573">
        <f t="shared" si="11"/>
        <v>100</v>
      </c>
      <c r="V41" s="1572" t="s">
        <v>8</v>
      </c>
      <c r="W41" s="1573">
        <f t="shared" si="12"/>
        <v>100</v>
      </c>
      <c r="X41" s="1566"/>
      <c r="Y41" s="3402"/>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2"/>
      <c r="Q42" s="1571">
        <f t="shared" si="14"/>
        <v>111</v>
      </c>
      <c r="R42" s="1576" t="s">
        <v>8</v>
      </c>
      <c r="S42" s="1577">
        <f t="shared" si="10"/>
        <v>100</v>
      </c>
      <c r="T42" s="1576" t="s">
        <v>8</v>
      </c>
      <c r="U42" s="1577">
        <f t="shared" si="11"/>
        <v>100</v>
      </c>
      <c r="V42" s="1576" t="s">
        <v>8</v>
      </c>
      <c r="W42" s="1577">
        <f t="shared" si="12"/>
        <v>100</v>
      </c>
      <c r="X42" s="1578"/>
      <c r="Y42" s="3402"/>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65" t="str">
        <f>A43</f>
        <v>成交单价</v>
      </c>
      <c r="Q43" s="3365"/>
      <c r="R43" s="3366">
        <f>E43</f>
        <v>0</v>
      </c>
      <c r="S43" s="3366"/>
      <c r="T43" s="3366">
        <f>G43</f>
        <v>0</v>
      </c>
      <c r="U43" s="3366"/>
      <c r="V43" s="3366">
        <f>I43</f>
        <v>0</v>
      </c>
      <c r="W43" s="3366"/>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65" t="str">
        <f>A44</f>
        <v>比较价格（元/平方米）</v>
      </c>
      <c r="Q44" s="3365"/>
      <c r="R44" s="3367" t="e">
        <f>ROUND(PRODUCT(R43,AA9:AA42),0)</f>
        <v>#DIV/0!</v>
      </c>
      <c r="S44" s="3367"/>
      <c r="T44" s="3367" t="e">
        <f>ROUND(PRODUCT(T43,AB9:AB42),0)</f>
        <v>#DIV/0!</v>
      </c>
      <c r="U44" s="3367"/>
      <c r="V44" s="3367" t="e">
        <f>ROUND(PRODUCT(V43,AC9:AC42),0)</f>
        <v>#DIV/0!</v>
      </c>
      <c r="W44" s="3367"/>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362" t="str">
        <f>A45</f>
        <v>估价对象XX用房的比较价格（楼面单价，元/平方米）</v>
      </c>
      <c r="Q45" s="3363"/>
      <c r="R45" s="3364" t="e">
        <f>ROUND(AVERAGE(R44:V44),0)</f>
        <v>#DIV/0!</v>
      </c>
      <c r="S45" s="3364"/>
      <c r="T45" s="3364"/>
      <c r="U45" s="3364"/>
      <c r="V45" s="3364"/>
      <c r="W45" s="336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10" t="s">
        <v>2286</v>
      </c>
      <c r="H52" s="3411"/>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7937</v>
      </c>
      <c r="F53" s="1950" t="e">
        <f t="shared" ref="F53:F62" si="15">ROUND(B53*E53/10000,0)</f>
        <v>#DIV/0!</v>
      </c>
      <c r="G53" s="3412"/>
      <c r="H53" s="341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14"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1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1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1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4"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25"/>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16" t="s">
        <v>2785</v>
      </c>
      <c r="X8" s="3417"/>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5"/>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5"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5"/>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5"/>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5"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424"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6"/>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15"/>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2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7"/>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4"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5"/>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0"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1"/>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1"/>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2"/>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8" t="s">
        <v>1633</v>
      </c>
      <c r="B90" s="3428"/>
      <c r="C90" s="3428"/>
      <c r="D90" s="3428"/>
      <c r="E90" s="3428"/>
      <c r="F90" s="3428"/>
      <c r="G90" s="3428"/>
      <c r="H90" s="3428"/>
      <c r="I90" s="3428"/>
      <c r="J90" s="3428"/>
      <c r="K90" s="2450"/>
      <c r="L90" s="2450"/>
      <c r="M90" s="2450"/>
      <c r="N90" s="2450"/>
    </row>
    <row r="91" spans="1:40">
      <c r="A91" s="3429" t="s">
        <v>1443</v>
      </c>
      <c r="B91" s="3429" t="s">
        <v>1634</v>
      </c>
      <c r="C91" s="1139" t="s">
        <v>1635</v>
      </c>
      <c r="D91" s="1140"/>
      <c r="E91" s="1140"/>
      <c r="F91" s="1140"/>
      <c r="G91" s="1140"/>
      <c r="H91" s="1140"/>
      <c r="I91" s="1140"/>
      <c r="J91" s="1141"/>
      <c r="K91" s="1133"/>
      <c r="L91" s="1133"/>
      <c r="M91" s="1133"/>
      <c r="N91" s="1133"/>
    </row>
    <row r="92" spans="1:40">
      <c r="A92" s="3429"/>
      <c r="B92" s="342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18"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9"/>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8"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19"/>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19"/>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19"/>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19"/>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19"/>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19"/>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19"/>
      <c r="B108" s="3421"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0"/>
      <c r="B109" s="3422"/>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23" t="s">
        <v>1639</v>
      </c>
      <c r="B110" s="3423"/>
      <c r="C110" s="3423"/>
      <c r="D110" s="3423"/>
      <c r="E110" s="3423"/>
      <c r="F110" s="3423"/>
      <c r="G110" s="3423"/>
      <c r="H110" s="3423"/>
      <c r="I110" s="3423"/>
      <c r="J110" s="3423"/>
      <c r="K110" s="2448"/>
      <c r="L110" s="2448"/>
      <c r="M110" s="2448"/>
      <c r="N110" s="2448"/>
    </row>
    <row r="112" spans="1:14" ht="12.75" thickBot="1"/>
    <row r="113" spans="1:13" ht="25.5"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2.75">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2.75">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5"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29" t="s">
        <v>1007</v>
      </c>
      <c r="B18" s="1153" t="s">
        <v>1446</v>
      </c>
      <c r="C18" s="1130" t="s">
        <v>1447</v>
      </c>
      <c r="D18" s="1131"/>
      <c r="E18" s="1153">
        <v>1</v>
      </c>
      <c r="F18" s="1132" t="s">
        <v>1448</v>
      </c>
      <c r="G18" s="1133"/>
      <c r="H18" s="1104"/>
      <c r="I18" s="1104"/>
    </row>
    <row r="19" spans="1:9" s="1598" customFormat="1" ht="19.5" customHeight="1">
      <c r="A19" s="3429"/>
      <c r="B19" s="3429" t="s">
        <v>1449</v>
      </c>
      <c r="C19" s="1130" t="s">
        <v>1450</v>
      </c>
      <c r="D19" s="1131"/>
      <c r="E19" s="1153">
        <v>0.9</v>
      </c>
      <c r="F19" s="1132" t="s">
        <v>1451</v>
      </c>
      <c r="G19" s="1133"/>
      <c r="H19" s="1104"/>
      <c r="I19" s="1104"/>
    </row>
    <row r="20" spans="1:9" s="1598" customFormat="1" ht="19.5" customHeight="1">
      <c r="A20" s="3429"/>
      <c r="B20" s="3429"/>
      <c r="C20" s="1130" t="s">
        <v>1452</v>
      </c>
      <c r="D20" s="1131"/>
      <c r="E20" s="1153">
        <v>1.1000000000000001</v>
      </c>
      <c r="F20" s="1132" t="s">
        <v>1453</v>
      </c>
      <c r="G20" s="1133"/>
      <c r="H20" s="1104"/>
      <c r="I20" s="1104"/>
    </row>
    <row r="21" spans="1:9" s="1598" customFormat="1" ht="19.5" customHeight="1">
      <c r="A21" s="3429"/>
      <c r="B21" s="3429"/>
      <c r="C21" s="1130" t="s">
        <v>1454</v>
      </c>
      <c r="D21" s="1131"/>
      <c r="E21" s="1153">
        <v>0.8</v>
      </c>
      <c r="F21" s="1132" t="s">
        <v>1455</v>
      </c>
      <c r="G21" s="1133"/>
      <c r="H21" s="1104"/>
      <c r="I21" s="1104"/>
    </row>
    <row r="22" spans="1:9" s="1598" customFormat="1" ht="19.5" customHeight="1">
      <c r="A22" s="3429"/>
      <c r="B22" s="3429"/>
      <c r="C22" s="1130" t="s">
        <v>1456</v>
      </c>
      <c r="D22" s="1131"/>
      <c r="E22" s="1153">
        <v>0.5</v>
      </c>
      <c r="F22" s="1132"/>
      <c r="G22" s="1133"/>
      <c r="H22" s="1104"/>
      <c r="I22" s="1104"/>
    </row>
    <row r="23" spans="1:9" s="1598" customFormat="1" ht="19.5" customHeight="1">
      <c r="A23" s="3429" t="s">
        <v>1029</v>
      </c>
      <c r="B23" s="1153" t="s">
        <v>1446</v>
      </c>
      <c r="C23" s="1130" t="s">
        <v>1457</v>
      </c>
      <c r="D23" s="1131"/>
      <c r="E23" s="1153">
        <v>1</v>
      </c>
      <c r="F23" s="1132" t="s">
        <v>1458</v>
      </c>
      <c r="G23" s="1133"/>
      <c r="H23" s="1104"/>
      <c r="I23" s="1104"/>
    </row>
    <row r="24" spans="1:9" s="1598" customFormat="1" ht="19.5" customHeight="1">
      <c r="A24" s="3429"/>
      <c r="B24" s="3429" t="s">
        <v>1449</v>
      </c>
      <c r="C24" s="1130" t="s">
        <v>1459</v>
      </c>
      <c r="D24" s="1131"/>
      <c r="E24" s="1153">
        <v>0.5</v>
      </c>
      <c r="F24" s="1132"/>
      <c r="G24" s="1133"/>
      <c r="H24" s="1104"/>
      <c r="I24" s="1104"/>
    </row>
    <row r="25" spans="1:9" s="1598" customFormat="1" ht="19.5" customHeight="1">
      <c r="A25" s="3429"/>
      <c r="B25" s="3429"/>
      <c r="C25" s="1130" t="s">
        <v>1460</v>
      </c>
      <c r="D25" s="1131"/>
      <c r="E25" s="1153">
        <v>1.1000000000000001</v>
      </c>
      <c r="F25" s="1132"/>
      <c r="G25" s="1133"/>
      <c r="H25" s="1104"/>
      <c r="I25" s="1104"/>
    </row>
    <row r="26" spans="1:9" s="1598" customFormat="1" ht="19.5" customHeight="1">
      <c r="A26" s="3429"/>
      <c r="B26" s="3429"/>
      <c r="C26" s="1130" t="s">
        <v>1461</v>
      </c>
      <c r="D26" s="1131"/>
      <c r="E26" s="1153">
        <v>1.1000000000000001</v>
      </c>
      <c r="F26" s="1132"/>
      <c r="G26" s="1133"/>
      <c r="H26" s="1104"/>
      <c r="I26" s="1104"/>
    </row>
    <row r="27" spans="1:9" s="1598" customFormat="1" ht="19.5" customHeight="1">
      <c r="A27" s="3429"/>
      <c r="B27" s="3429"/>
      <c r="C27" s="1130" t="s">
        <v>1462</v>
      </c>
      <c r="D27" s="1131"/>
      <c r="E27" s="1153">
        <v>0.9</v>
      </c>
      <c r="F27" s="1132" t="s">
        <v>1463</v>
      </c>
      <c r="G27" s="1133"/>
      <c r="H27" s="1104"/>
      <c r="I27" s="1104"/>
    </row>
    <row r="28" spans="1:9" s="1598" customFormat="1" ht="19.5" customHeight="1">
      <c r="A28" s="3429"/>
      <c r="B28" s="3429"/>
      <c r="C28" s="1130" t="s">
        <v>1464</v>
      </c>
      <c r="D28" s="1131"/>
      <c r="E28" s="1153">
        <v>0.9</v>
      </c>
      <c r="F28" s="1132" t="s">
        <v>1465</v>
      </c>
      <c r="G28" s="1133"/>
      <c r="H28" s="1104"/>
      <c r="I28" s="1104"/>
    </row>
    <row r="29" spans="1:9" s="1598" customFormat="1" ht="19.5" customHeight="1">
      <c r="A29" s="3429"/>
      <c r="B29" s="3429"/>
      <c r="C29" s="1130" t="s">
        <v>1466</v>
      </c>
      <c r="D29" s="1131"/>
      <c r="E29" s="1153">
        <v>0.9</v>
      </c>
      <c r="F29" s="1132" t="s">
        <v>1467</v>
      </c>
      <c r="G29" s="1133"/>
      <c r="H29" s="1104"/>
      <c r="I29" s="1104"/>
    </row>
    <row r="30" spans="1:9" s="1598" customFormat="1" ht="19.5" customHeight="1">
      <c r="A30" s="3429"/>
      <c r="B30" s="3429"/>
      <c r="C30" s="1130" t="s">
        <v>1468</v>
      </c>
      <c r="D30" s="1131"/>
      <c r="E30" s="1153">
        <v>0.9</v>
      </c>
      <c r="F30" s="1132" t="s">
        <v>1469</v>
      </c>
      <c r="G30" s="1133"/>
      <c r="H30" s="1104"/>
      <c r="I30" s="1104"/>
    </row>
    <row r="31" spans="1:9" s="1598" customFormat="1" ht="19.5" customHeight="1">
      <c r="A31" s="3429"/>
      <c r="B31" s="3429"/>
      <c r="C31" s="1130" t="s">
        <v>1470</v>
      </c>
      <c r="D31" s="1131"/>
      <c r="E31" s="1153">
        <v>0.8</v>
      </c>
      <c r="F31" s="1132" t="s">
        <v>1471</v>
      </c>
      <c r="G31" s="1133"/>
      <c r="H31" s="1104"/>
      <c r="I31" s="1104"/>
    </row>
    <row r="32" spans="1:9" s="1598" customFormat="1" ht="19.5" customHeight="1">
      <c r="A32" s="3429"/>
      <c r="B32" s="3429"/>
      <c r="C32" s="1130" t="s">
        <v>1472</v>
      </c>
      <c r="D32" s="1131"/>
      <c r="E32" s="1153">
        <v>0.8</v>
      </c>
      <c r="F32" s="1132" t="s">
        <v>1473</v>
      </c>
      <c r="G32" s="1133"/>
      <c r="H32" s="1104"/>
      <c r="I32" s="1104"/>
    </row>
    <row r="33" spans="1:9" s="1598" customFormat="1" ht="19.5" customHeight="1">
      <c r="A33" s="3429" t="s">
        <v>1474</v>
      </c>
      <c r="B33" s="1153" t="s">
        <v>1446</v>
      </c>
      <c r="C33" s="1130" t="s">
        <v>1475</v>
      </c>
      <c r="D33" s="1131"/>
      <c r="E33" s="1153">
        <v>1</v>
      </c>
      <c r="F33" s="1132" t="s">
        <v>1476</v>
      </c>
      <c r="G33" s="1133"/>
      <c r="H33" s="1104"/>
      <c r="I33" s="1104"/>
    </row>
    <row r="34" spans="1:9" s="1598" customFormat="1" ht="19.5" customHeight="1">
      <c r="A34" s="3429"/>
      <c r="B34" s="1153" t="s">
        <v>1449</v>
      </c>
      <c r="C34" s="1130" t="s">
        <v>1477</v>
      </c>
      <c r="D34" s="1131"/>
      <c r="E34" s="1153">
        <v>1.5</v>
      </c>
      <c r="F34" s="1132" t="s">
        <v>1478</v>
      </c>
      <c r="G34" s="1133"/>
      <c r="H34" s="1104"/>
      <c r="I34" s="1104"/>
    </row>
    <row r="35" spans="1:9" s="1598" customFormat="1" ht="19.5" customHeight="1">
      <c r="A35" s="3429" t="s">
        <v>1432</v>
      </c>
      <c r="B35" s="1153" t="s">
        <v>1446</v>
      </c>
      <c r="C35" s="1130" t="s">
        <v>1479</v>
      </c>
      <c r="D35" s="1131"/>
      <c r="E35" s="1153">
        <v>1</v>
      </c>
      <c r="F35" s="1132" t="s">
        <v>1480</v>
      </c>
      <c r="G35" s="1133"/>
      <c r="H35" s="1104"/>
      <c r="I35" s="1104"/>
    </row>
    <row r="36" spans="1:9" s="1598" customFormat="1" ht="19.5" customHeight="1">
      <c r="A36" s="3429"/>
      <c r="B36" s="3429" t="s">
        <v>1449</v>
      </c>
      <c r="C36" s="1130" t="s">
        <v>1481</v>
      </c>
      <c r="D36" s="1131"/>
      <c r="E36" s="1153">
        <v>1</v>
      </c>
      <c r="F36" s="1132" t="s">
        <v>1482</v>
      </c>
      <c r="G36" s="1133"/>
      <c r="H36" s="1104"/>
      <c r="I36" s="1104"/>
    </row>
    <row r="37" spans="1:9" s="1598" customFormat="1" ht="19.5" customHeight="1">
      <c r="A37" s="3429"/>
      <c r="B37" s="3429"/>
      <c r="C37" s="1130" t="s">
        <v>1483</v>
      </c>
      <c r="D37" s="1131"/>
      <c r="E37" s="1153">
        <v>1.5</v>
      </c>
      <c r="F37" s="1132" t="s">
        <v>1484</v>
      </c>
      <c r="G37" s="1133"/>
      <c r="H37" s="1104"/>
      <c r="I37" s="1104"/>
    </row>
    <row r="38" spans="1:9" s="1598" customFormat="1" ht="19.5" customHeight="1">
      <c r="A38" s="3429"/>
      <c r="B38" s="3429"/>
      <c r="C38" s="1130" t="s">
        <v>1485</v>
      </c>
      <c r="D38" s="1131"/>
      <c r="E38" s="1153">
        <v>1</v>
      </c>
      <c r="F38" s="1132" t="s">
        <v>1486</v>
      </c>
      <c r="G38" s="1133"/>
      <c r="H38" s="1104"/>
      <c r="I38" s="1104"/>
    </row>
    <row r="39" spans="1:9" s="1598" customFormat="1" ht="19.5" customHeight="1">
      <c r="A39" s="3429"/>
      <c r="B39" s="3429"/>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9" t="s">
        <v>1501</v>
      </c>
      <c r="C61" s="1067" t="s">
        <v>1502</v>
      </c>
      <c r="D61" s="1067" t="s">
        <v>1503</v>
      </c>
      <c r="E61" s="1138">
        <v>0.5</v>
      </c>
      <c r="F61" s="1153">
        <v>80</v>
      </c>
      <c r="H61" s="1104">
        <f>SUMIF(C59:C119,基准地价!C8,E59:E119)</f>
        <v>0</v>
      </c>
    </row>
    <row r="62" spans="1:8" s="1104" customFormat="1" ht="24">
      <c r="A62" s="1153">
        <v>2</v>
      </c>
      <c r="B62" s="3429"/>
      <c r="C62" s="1067" t="s">
        <v>1504</v>
      </c>
      <c r="D62" s="1067" t="s">
        <v>1505</v>
      </c>
      <c r="E62" s="1138">
        <v>0.5</v>
      </c>
      <c r="F62" s="1153">
        <v>80</v>
      </c>
    </row>
    <row r="63" spans="1:8" s="1104" customFormat="1" ht="36">
      <c r="A63" s="1153">
        <v>3</v>
      </c>
      <c r="B63" s="3429"/>
      <c r="C63" s="1067" t="s">
        <v>1506</v>
      </c>
      <c r="D63" s="1067" t="s">
        <v>1507</v>
      </c>
      <c r="E63" s="1138">
        <v>0.5</v>
      </c>
      <c r="F63" s="1153">
        <v>80</v>
      </c>
    </row>
    <row r="64" spans="1:8" s="1104" customFormat="1" ht="36">
      <c r="A64" s="1153">
        <v>4</v>
      </c>
      <c r="B64" s="3429"/>
      <c r="C64" s="1067" t="s">
        <v>1508</v>
      </c>
      <c r="D64" s="1067" t="s">
        <v>1509</v>
      </c>
      <c r="E64" s="1138">
        <v>0.4</v>
      </c>
      <c r="F64" s="1153">
        <v>60</v>
      </c>
    </row>
    <row r="65" spans="1:6" s="1104" customFormat="1" ht="36">
      <c r="A65" s="1153">
        <v>5</v>
      </c>
      <c r="B65" s="3429"/>
      <c r="C65" s="1067" t="s">
        <v>1510</v>
      </c>
      <c r="D65" s="1067" t="s">
        <v>1511</v>
      </c>
      <c r="E65" s="1138">
        <v>0.2</v>
      </c>
      <c r="F65" s="1153">
        <v>30</v>
      </c>
    </row>
    <row r="66" spans="1:6" s="1104" customFormat="1" ht="36">
      <c r="A66" s="1153">
        <v>6</v>
      </c>
      <c r="B66" s="3429"/>
      <c r="C66" s="1067" t="s">
        <v>1512</v>
      </c>
      <c r="D66" s="1067" t="s">
        <v>1513</v>
      </c>
      <c r="E66" s="1138">
        <v>0.3</v>
      </c>
      <c r="F66" s="1153">
        <v>50</v>
      </c>
    </row>
    <row r="67" spans="1:6" s="1104" customFormat="1" ht="36">
      <c r="A67" s="1153">
        <v>7</v>
      </c>
      <c r="B67" s="3429"/>
      <c r="C67" s="1067" t="s">
        <v>1514</v>
      </c>
      <c r="D67" s="1067" t="s">
        <v>1515</v>
      </c>
      <c r="E67" s="1138">
        <v>0.2</v>
      </c>
      <c r="F67" s="1153">
        <v>30</v>
      </c>
    </row>
    <row r="68" spans="1:6" s="1104" customFormat="1" ht="36">
      <c r="A68" s="1153">
        <v>8</v>
      </c>
      <c r="B68" s="3429"/>
      <c r="C68" s="1067" t="s">
        <v>1516</v>
      </c>
      <c r="D68" s="1067" t="s">
        <v>1517</v>
      </c>
      <c r="E68" s="1138">
        <v>0.2</v>
      </c>
      <c r="F68" s="1153">
        <v>30</v>
      </c>
    </row>
    <row r="69" spans="1:6" s="1104" customFormat="1" ht="36">
      <c r="A69" s="1153">
        <v>9</v>
      </c>
      <c r="B69" s="3429"/>
      <c r="C69" s="1067" t="s">
        <v>1518</v>
      </c>
      <c r="D69" s="1067" t="s">
        <v>1519</v>
      </c>
      <c r="E69" s="1138">
        <v>0.2</v>
      </c>
      <c r="F69" s="1153">
        <v>30</v>
      </c>
    </row>
    <row r="70" spans="1:6" s="1104" customFormat="1" ht="48">
      <c r="A70" s="1153">
        <v>10</v>
      </c>
      <c r="B70" s="3429"/>
      <c r="C70" s="1067" t="s">
        <v>1520</v>
      </c>
      <c r="D70" s="1067" t="s">
        <v>1521</v>
      </c>
      <c r="E70" s="1138">
        <v>0.2</v>
      </c>
      <c r="F70" s="1153">
        <v>30</v>
      </c>
    </row>
    <row r="71" spans="1:6" s="1104" customFormat="1" ht="48">
      <c r="A71" s="1153">
        <v>11</v>
      </c>
      <c r="B71" s="3429"/>
      <c r="C71" s="1067" t="s">
        <v>1522</v>
      </c>
      <c r="D71" s="1067" t="s">
        <v>1523</v>
      </c>
      <c r="E71" s="1138">
        <v>0.2</v>
      </c>
      <c r="F71" s="1153">
        <v>30</v>
      </c>
    </row>
    <row r="72" spans="1:6" s="1104" customFormat="1" ht="36">
      <c r="A72" s="1153">
        <v>12</v>
      </c>
      <c r="B72" s="3429"/>
      <c r="C72" s="1067" t="s">
        <v>1524</v>
      </c>
      <c r="D72" s="1067" t="s">
        <v>1525</v>
      </c>
      <c r="E72" s="1138">
        <v>0.5</v>
      </c>
      <c r="F72" s="1153">
        <v>80</v>
      </c>
    </row>
    <row r="73" spans="1:6" s="1104" customFormat="1" ht="24">
      <c r="A73" s="1153">
        <v>13</v>
      </c>
      <c r="B73" s="3429"/>
      <c r="C73" s="1067" t="s">
        <v>1526</v>
      </c>
      <c r="D73" s="1067" t="s">
        <v>1527</v>
      </c>
      <c r="E73" s="1138">
        <v>0.4</v>
      </c>
      <c r="F73" s="1153">
        <v>60</v>
      </c>
    </row>
    <row r="74" spans="1:6" s="1104" customFormat="1" ht="24">
      <c r="A74" s="1153">
        <v>14</v>
      </c>
      <c r="B74" s="3429"/>
      <c r="C74" s="1067" t="s">
        <v>1528</v>
      </c>
      <c r="D74" s="1067" t="s">
        <v>1529</v>
      </c>
      <c r="E74" s="1138">
        <v>0.2</v>
      </c>
      <c r="F74" s="1153">
        <v>30</v>
      </c>
    </row>
    <row r="75" spans="1:6" s="1104" customFormat="1" ht="24">
      <c r="A75" s="1153">
        <v>15</v>
      </c>
      <c r="B75" s="3429"/>
      <c r="C75" s="1067" t="s">
        <v>1530</v>
      </c>
      <c r="D75" s="1067" t="s">
        <v>1531</v>
      </c>
      <c r="E75" s="1138">
        <v>0.2</v>
      </c>
      <c r="F75" s="1153">
        <v>30</v>
      </c>
    </row>
    <row r="76" spans="1:6" s="1104" customFormat="1" ht="24">
      <c r="A76" s="1153">
        <v>16</v>
      </c>
      <c r="B76" s="3429" t="s">
        <v>1532</v>
      </c>
      <c r="C76" s="1067" t="s">
        <v>1533</v>
      </c>
      <c r="D76" s="1067" t="s">
        <v>1534</v>
      </c>
      <c r="E76" s="1138">
        <v>0.5</v>
      </c>
      <c r="F76" s="1153">
        <v>80</v>
      </c>
    </row>
    <row r="77" spans="1:6" s="1104" customFormat="1" ht="24">
      <c r="A77" s="1153">
        <v>17</v>
      </c>
      <c r="B77" s="3429"/>
      <c r="C77" s="1067" t="s">
        <v>1535</v>
      </c>
      <c r="D77" s="1067" t="s">
        <v>1536</v>
      </c>
      <c r="E77" s="1138">
        <v>0.5</v>
      </c>
      <c r="F77" s="1153">
        <v>80</v>
      </c>
    </row>
    <row r="78" spans="1:6" s="1104" customFormat="1" ht="24">
      <c r="A78" s="1153">
        <v>18</v>
      </c>
      <c r="B78" s="3429"/>
      <c r="C78" s="1067" t="s">
        <v>1537</v>
      </c>
      <c r="D78" s="1067" t="s">
        <v>1538</v>
      </c>
      <c r="E78" s="1138">
        <v>0.2</v>
      </c>
      <c r="F78" s="1153">
        <v>30</v>
      </c>
    </row>
    <row r="79" spans="1:6" s="1104" customFormat="1" ht="24">
      <c r="A79" s="1153">
        <v>19</v>
      </c>
      <c r="B79" s="3429"/>
      <c r="C79" s="1067" t="s">
        <v>1539</v>
      </c>
      <c r="D79" s="1067" t="s">
        <v>1540</v>
      </c>
      <c r="E79" s="1138">
        <v>0.5</v>
      </c>
      <c r="F79" s="1153">
        <v>80</v>
      </c>
    </row>
    <row r="80" spans="1:6" s="1104" customFormat="1" ht="36">
      <c r="A80" s="1153">
        <v>20</v>
      </c>
      <c r="B80" s="3429"/>
      <c r="C80" s="1067" t="s">
        <v>1541</v>
      </c>
      <c r="D80" s="1067" t="s">
        <v>1542</v>
      </c>
      <c r="E80" s="1138">
        <v>0.2</v>
      </c>
      <c r="F80" s="1153">
        <v>30</v>
      </c>
    </row>
    <row r="81" spans="1:6" s="1104" customFormat="1" ht="36">
      <c r="A81" s="1153">
        <v>21</v>
      </c>
      <c r="B81" s="3429"/>
      <c r="C81" s="1067" t="s">
        <v>1543</v>
      </c>
      <c r="D81" s="1067" t="s">
        <v>1544</v>
      </c>
      <c r="E81" s="1138">
        <v>0.2</v>
      </c>
      <c r="F81" s="1153">
        <v>30</v>
      </c>
    </row>
    <row r="82" spans="1:6" s="1104" customFormat="1" ht="48">
      <c r="A82" s="1153">
        <v>22</v>
      </c>
      <c r="B82" s="3429"/>
      <c r="C82" s="1067" t="s">
        <v>1545</v>
      </c>
      <c r="D82" s="1067" t="s">
        <v>1546</v>
      </c>
      <c r="E82" s="1138">
        <v>0.2</v>
      </c>
      <c r="F82" s="1153">
        <v>30</v>
      </c>
    </row>
    <row r="83" spans="1:6" s="1104" customFormat="1" ht="48">
      <c r="A83" s="1153">
        <v>23</v>
      </c>
      <c r="B83" s="3429"/>
      <c r="C83" s="1067" t="s">
        <v>1547</v>
      </c>
      <c r="D83" s="1067" t="s">
        <v>1548</v>
      </c>
      <c r="E83" s="1138">
        <v>0.2</v>
      </c>
      <c r="F83" s="1153">
        <v>30</v>
      </c>
    </row>
    <row r="84" spans="1:6" s="1104" customFormat="1" ht="36">
      <c r="A84" s="1153">
        <v>24</v>
      </c>
      <c r="B84" s="3429"/>
      <c r="C84" s="1067" t="s">
        <v>1549</v>
      </c>
      <c r="D84" s="1067" t="s">
        <v>1550</v>
      </c>
      <c r="E84" s="1138">
        <v>0.2</v>
      </c>
      <c r="F84" s="1153">
        <v>30</v>
      </c>
    </row>
    <row r="85" spans="1:6" s="1104" customFormat="1" ht="36">
      <c r="A85" s="1153">
        <v>25</v>
      </c>
      <c r="B85" s="3429"/>
      <c r="C85" s="1067" t="s">
        <v>1551</v>
      </c>
      <c r="D85" s="1067" t="s">
        <v>1552</v>
      </c>
      <c r="E85" s="1138">
        <v>0.5</v>
      </c>
      <c r="F85" s="1153">
        <v>80</v>
      </c>
    </row>
    <row r="86" spans="1:6" s="1104" customFormat="1" ht="36">
      <c r="A86" s="1153">
        <v>26</v>
      </c>
      <c r="B86" s="3429"/>
      <c r="C86" s="1067" t="s">
        <v>1553</v>
      </c>
      <c r="D86" s="1067" t="s">
        <v>1554</v>
      </c>
      <c r="E86" s="1138">
        <v>0.2</v>
      </c>
      <c r="F86" s="1153">
        <v>30</v>
      </c>
    </row>
    <row r="87" spans="1:6" s="1104" customFormat="1" ht="36">
      <c r="A87" s="1153">
        <v>27</v>
      </c>
      <c r="B87" s="3429"/>
      <c r="C87" s="1067" t="s">
        <v>1555</v>
      </c>
      <c r="D87" s="1067" t="s">
        <v>1556</v>
      </c>
      <c r="E87" s="1138">
        <v>0.2</v>
      </c>
      <c r="F87" s="1153">
        <v>30</v>
      </c>
    </row>
    <row r="88" spans="1:6" s="1104" customFormat="1" ht="36">
      <c r="A88" s="1153">
        <v>28</v>
      </c>
      <c r="B88" s="3429"/>
      <c r="C88" s="1067" t="s">
        <v>1557</v>
      </c>
      <c r="D88" s="1067" t="s">
        <v>1558</v>
      </c>
      <c r="E88" s="1138">
        <v>0.2</v>
      </c>
      <c r="F88" s="1153">
        <v>30</v>
      </c>
    </row>
    <row r="89" spans="1:6" s="1104" customFormat="1" ht="24">
      <c r="A89" s="1153">
        <v>29</v>
      </c>
      <c r="B89" s="3429"/>
      <c r="C89" s="1067" t="s">
        <v>1559</v>
      </c>
      <c r="D89" s="1067" t="s">
        <v>1560</v>
      </c>
      <c r="E89" s="1138">
        <v>0.2</v>
      </c>
      <c r="F89" s="1153">
        <v>30</v>
      </c>
    </row>
    <row r="90" spans="1:6" s="1104" customFormat="1" ht="24">
      <c r="A90" s="1153">
        <v>30</v>
      </c>
      <c r="B90" s="3429"/>
      <c r="C90" s="1067" t="s">
        <v>1561</v>
      </c>
      <c r="D90" s="1067" t="s">
        <v>1562</v>
      </c>
      <c r="E90" s="1138">
        <v>0.2</v>
      </c>
      <c r="F90" s="1153">
        <v>30</v>
      </c>
    </row>
    <row r="91" spans="1:6" s="1104" customFormat="1" ht="36">
      <c r="A91" s="1153">
        <v>31</v>
      </c>
      <c r="B91" s="3429"/>
      <c r="C91" s="1067" t="s">
        <v>1563</v>
      </c>
      <c r="D91" s="1067" t="s">
        <v>1564</v>
      </c>
      <c r="E91" s="1138">
        <v>0.2</v>
      </c>
      <c r="F91" s="1153">
        <v>30</v>
      </c>
    </row>
    <row r="92" spans="1:6" s="1104" customFormat="1" ht="24">
      <c r="A92" s="1153">
        <v>32</v>
      </c>
      <c r="B92" s="3429" t="s">
        <v>1565</v>
      </c>
      <c r="C92" s="1153" t="s">
        <v>1566</v>
      </c>
      <c r="D92" s="1067" t="s">
        <v>1567</v>
      </c>
      <c r="E92" s="1138">
        <v>0.2</v>
      </c>
      <c r="F92" s="1153">
        <v>30</v>
      </c>
    </row>
    <row r="93" spans="1:6" s="1104" customFormat="1" ht="36">
      <c r="A93" s="1153">
        <v>33</v>
      </c>
      <c r="B93" s="3429"/>
      <c r="C93" s="1153" t="s">
        <v>1568</v>
      </c>
      <c r="D93" s="1067" t="s">
        <v>1569</v>
      </c>
      <c r="E93" s="1138">
        <v>0.2</v>
      </c>
      <c r="F93" s="1153">
        <v>30</v>
      </c>
    </row>
    <row r="94" spans="1:6" s="1104" customFormat="1" ht="48">
      <c r="A94" s="1153">
        <v>34</v>
      </c>
      <c r="B94" s="3429"/>
      <c r="C94" s="1153" t="s">
        <v>1570</v>
      </c>
      <c r="D94" s="1067" t="s">
        <v>1571</v>
      </c>
      <c r="E94" s="1138">
        <v>0.2</v>
      </c>
      <c r="F94" s="1153">
        <v>30</v>
      </c>
    </row>
    <row r="95" spans="1:6" s="1104" customFormat="1" ht="36">
      <c r="A95" s="1153">
        <v>35</v>
      </c>
      <c r="B95" s="3429"/>
      <c r="C95" s="1153" t="s">
        <v>1572</v>
      </c>
      <c r="D95" s="1067" t="s">
        <v>1573</v>
      </c>
      <c r="E95" s="1138">
        <v>0.2</v>
      </c>
      <c r="F95" s="1153">
        <v>30</v>
      </c>
    </row>
    <row r="96" spans="1:6" s="1104" customFormat="1" ht="48">
      <c r="A96" s="1153">
        <v>36</v>
      </c>
      <c r="B96" s="3429"/>
      <c r="C96" s="1067" t="s">
        <v>1574</v>
      </c>
      <c r="D96" s="1067" t="s">
        <v>1575</v>
      </c>
      <c r="E96" s="1138">
        <v>0.2</v>
      </c>
      <c r="F96" s="1153">
        <v>30</v>
      </c>
    </row>
    <row r="97" spans="1:6" s="1104" customFormat="1" ht="36">
      <c r="A97" s="1153">
        <v>37</v>
      </c>
      <c r="B97" s="3429"/>
      <c r="C97" s="1153" t="s">
        <v>1576</v>
      </c>
      <c r="D97" s="1067" t="s">
        <v>1577</v>
      </c>
      <c r="E97" s="1138">
        <v>0.2</v>
      </c>
      <c r="F97" s="1153">
        <v>30</v>
      </c>
    </row>
    <row r="98" spans="1:6" s="1104" customFormat="1" ht="36">
      <c r="A98" s="1153">
        <v>38</v>
      </c>
      <c r="B98" s="3429"/>
      <c r="C98" s="1153" t="s">
        <v>1578</v>
      </c>
      <c r="D98" s="1067" t="s">
        <v>1579</v>
      </c>
      <c r="E98" s="1138">
        <v>0.2</v>
      </c>
      <c r="F98" s="1153">
        <v>30</v>
      </c>
    </row>
    <row r="99" spans="1:6" s="1104" customFormat="1" ht="36">
      <c r="A99" s="1153">
        <v>39</v>
      </c>
      <c r="B99" s="3429" t="s">
        <v>1580</v>
      </c>
      <c r="C99" s="1153" t="s">
        <v>1581</v>
      </c>
      <c r="D99" s="1067" t="s">
        <v>1582</v>
      </c>
      <c r="E99" s="1138">
        <v>0.3</v>
      </c>
      <c r="F99" s="1153">
        <v>50</v>
      </c>
    </row>
    <row r="100" spans="1:6" s="1104" customFormat="1" ht="24">
      <c r="A100" s="1153">
        <v>40</v>
      </c>
      <c r="B100" s="3429"/>
      <c r="C100" s="1153" t="s">
        <v>1583</v>
      </c>
      <c r="D100" s="1067" t="s">
        <v>1584</v>
      </c>
      <c r="E100" s="1138">
        <v>0.2</v>
      </c>
      <c r="F100" s="1153">
        <v>30</v>
      </c>
    </row>
    <row r="101" spans="1:6" s="1104" customFormat="1" ht="36">
      <c r="A101" s="1153">
        <v>41</v>
      </c>
      <c r="B101" s="342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9" t="s">
        <v>1595</v>
      </c>
      <c r="C105" s="1153" t="s">
        <v>1596</v>
      </c>
      <c r="D105" s="1067" t="s">
        <v>1597</v>
      </c>
      <c r="E105" s="1138">
        <v>0.2</v>
      </c>
      <c r="F105" s="1153">
        <v>30</v>
      </c>
    </row>
    <row r="106" spans="1:6" s="1104" customFormat="1" ht="36">
      <c r="A106" s="1153">
        <v>46</v>
      </c>
      <c r="B106" s="3429"/>
      <c r="C106" s="1153" t="s">
        <v>1598</v>
      </c>
      <c r="D106" s="1067" t="s">
        <v>1599</v>
      </c>
      <c r="E106" s="1138">
        <v>0.2</v>
      </c>
      <c r="F106" s="1153">
        <v>30</v>
      </c>
    </row>
    <row r="107" spans="1:6" s="1104" customFormat="1" ht="36">
      <c r="A107" s="1153">
        <v>47</v>
      </c>
      <c r="B107" s="3429" t="s">
        <v>1600</v>
      </c>
      <c r="C107" s="1153" t="s">
        <v>1601</v>
      </c>
      <c r="D107" s="1067" t="s">
        <v>1602</v>
      </c>
      <c r="E107" s="1138">
        <v>0.3</v>
      </c>
      <c r="F107" s="1153">
        <v>50</v>
      </c>
    </row>
    <row r="108" spans="1:6" s="1104" customFormat="1" ht="36">
      <c r="A108" s="1153">
        <v>48</v>
      </c>
      <c r="B108" s="342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9" t="s">
        <v>1611</v>
      </c>
      <c r="C111" s="1153" t="s">
        <v>1612</v>
      </c>
      <c r="D111" s="1067" t="s">
        <v>1613</v>
      </c>
      <c r="E111" s="1138">
        <v>0.2</v>
      </c>
      <c r="F111" s="1153">
        <v>30</v>
      </c>
    </row>
    <row r="112" spans="1:6" s="1104" customFormat="1" ht="24">
      <c r="A112" s="1153">
        <v>52</v>
      </c>
      <c r="B112" s="3429"/>
      <c r="C112" s="1153" t="s">
        <v>1614</v>
      </c>
      <c r="D112" s="1067" t="s">
        <v>1615</v>
      </c>
      <c r="E112" s="1138">
        <v>0.2</v>
      </c>
      <c r="F112" s="1153">
        <v>30</v>
      </c>
    </row>
    <row r="113" spans="1:14" s="1104" customFormat="1" ht="24">
      <c r="A113" s="1153">
        <v>53</v>
      </c>
      <c r="B113" s="342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9" t="s">
        <v>1624</v>
      </c>
      <c r="C116" s="1153" t="s">
        <v>1625</v>
      </c>
      <c r="D116" s="1067" t="s">
        <v>1626</v>
      </c>
      <c r="E116" s="1138">
        <v>0.2</v>
      </c>
      <c r="F116" s="1153">
        <v>30</v>
      </c>
    </row>
    <row r="117" spans="1:14" ht="36">
      <c r="A117" s="1153">
        <v>57</v>
      </c>
      <c r="B117" s="342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8" t="s">
        <v>1633</v>
      </c>
      <c r="B121" s="3428"/>
      <c r="C121" s="3428"/>
      <c r="D121" s="3428"/>
      <c r="E121" s="3428"/>
      <c r="F121" s="3428"/>
      <c r="G121" s="3428"/>
      <c r="H121" s="3428"/>
      <c r="I121" s="3428"/>
      <c r="J121" s="342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3" t="s">
        <v>1039</v>
      </c>
      <c r="B1" s="3433"/>
      <c r="C1" s="3433"/>
      <c r="D1" s="3433"/>
      <c r="E1" s="3433"/>
      <c r="F1" s="343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4" t="s">
        <v>1052</v>
      </c>
      <c r="B2" s="3434"/>
      <c r="C2" s="3434"/>
      <c r="D2" s="3434"/>
      <c r="E2" s="3434"/>
      <c r="F2" s="343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7" t="s">
        <v>2081</v>
      </c>
      <c r="B1" s="3437"/>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39" t="s">
        <v>2465</v>
      </c>
      <c r="C8" s="1825">
        <f ca="1">ROUND(F8*F10*F9*(1-F11)/10000,0)</f>
        <v>0</v>
      </c>
      <c r="D8" s="1822" t="s">
        <v>2536</v>
      </c>
      <c r="E8" s="61" t="s">
        <v>636</v>
      </c>
      <c r="F8" s="785">
        <f ca="1">INDIRECT("'数据-取费表'!u"&amp;$G$1)</f>
        <v>0</v>
      </c>
      <c r="G8" s="1591"/>
      <c r="H8" s="2504" t="s">
        <v>1824</v>
      </c>
      <c r="I8" s="3439" t="s">
        <v>2465</v>
      </c>
      <c r="J8" s="783">
        <f ca="1">ROUND(M8*M10*M9*(1-M11)/10000,0)</f>
        <v>0</v>
      </c>
      <c r="K8" s="341" t="s">
        <v>2536</v>
      </c>
      <c r="L8" s="784" t="s">
        <v>1738</v>
      </c>
      <c r="M8" s="785">
        <f ca="1">INDIRECT("'数据-取费表'!z"&amp;$G$1)</f>
        <v>0</v>
      </c>
    </row>
    <row r="9" spans="1:25" ht="18" customHeight="1">
      <c r="A9" s="2500"/>
      <c r="B9" s="3440"/>
      <c r="C9" s="1826"/>
      <c r="D9" s="1823"/>
      <c r="E9" s="61" t="s">
        <v>637</v>
      </c>
      <c r="F9" s="785">
        <f ca="1">IF(INDIRECT("'数据-取费表'!ah"&amp;$G$1)="",INDIRECT("'数据-取费表'!k"&amp;$G$1),INDIRECT("'数据-取费表'!ah"&amp;$G$1))</f>
        <v>0</v>
      </c>
      <c r="G9" s="1591"/>
      <c r="H9" s="2489"/>
      <c r="I9" s="3440"/>
      <c r="J9" s="788"/>
      <c r="K9" s="789"/>
      <c r="L9" s="784" t="s">
        <v>1739</v>
      </c>
      <c r="M9" s="785">
        <f ca="1">F9</f>
        <v>0</v>
      </c>
    </row>
    <row r="10" spans="1:25" ht="18" customHeight="1">
      <c r="A10" s="2493"/>
      <c r="B10" s="3441"/>
      <c r="C10" s="1826"/>
      <c r="D10" s="1823"/>
      <c r="E10" s="61" t="s">
        <v>638</v>
      </c>
      <c r="F10" s="785">
        <f ca="1">INDIRECT("'数据-取费表'!ai"&amp;$G$1)</f>
        <v>0</v>
      </c>
      <c r="G10" s="1591"/>
      <c r="H10" s="2489"/>
      <c r="I10" s="3441"/>
      <c r="J10" s="788"/>
      <c r="K10" s="789"/>
      <c r="L10" s="784" t="s">
        <v>1740</v>
      </c>
      <c r="M10" s="785">
        <f ca="1">INDIRECT("'数据-取费表'!ai"&amp;$G$1)</f>
        <v>0</v>
      </c>
    </row>
    <row r="11" spans="1:25" ht="18" customHeight="1">
      <c r="A11" s="786"/>
      <c r="B11" s="3442"/>
      <c r="C11" s="1826"/>
      <c r="D11" s="1823"/>
      <c r="E11" s="61" t="s">
        <v>639</v>
      </c>
      <c r="F11" s="794">
        <f ca="1">INDIRECT("'数据-取费表'!w"&amp;$G$1)</f>
        <v>0</v>
      </c>
      <c r="G11" s="1591"/>
      <c r="H11" s="2505"/>
      <c r="I11" s="3441"/>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5.3000000000000005E-2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5.0500000000000003E-2</v>
      </c>
      <c r="D30" s="812" t="s">
        <v>708</v>
      </c>
      <c r="E30" s="784" t="s">
        <v>648</v>
      </c>
      <c r="F30" s="809">
        <f>'数据-取费表'!B41</f>
        <v>5.3000000000000005E-2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5.3000000000000005E-2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0</v>
      </c>
      <c r="G36" s="2062"/>
      <c r="H36" s="2065"/>
      <c r="I36" s="3438"/>
      <c r="J36" s="2079"/>
      <c r="K36" s="2080"/>
      <c r="L36" s="2079"/>
      <c r="M36" s="2079"/>
    </row>
    <row r="37" spans="1:18" ht="18" customHeight="1">
      <c r="A37" s="815"/>
      <c r="B37" s="793"/>
      <c r="C37" s="69"/>
      <c r="D37" s="816"/>
      <c r="E37" s="784" t="s">
        <v>673</v>
      </c>
      <c r="F37" s="785">
        <f ca="1">INDIRECT("'数据-取费表'!r"&amp;$G$1)</f>
        <v>0</v>
      </c>
      <c r="G37" s="2062"/>
      <c r="H37" s="2065"/>
      <c r="I37" s="3438"/>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-3</v>
      </c>
      <c r="K54" s="3443"/>
      <c r="L54" s="3444"/>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1" t="s">
        <v>2578</v>
      </c>
      <c r="C1" s="3451"/>
      <c r="D1" s="3451"/>
      <c r="E1" s="3451"/>
      <c r="F1" s="3451"/>
      <c r="G1" s="3450" t="s">
        <v>2579</v>
      </c>
      <c r="H1" s="3450"/>
      <c r="I1" s="3450"/>
      <c r="J1" s="3450"/>
      <c r="K1" s="3450"/>
      <c r="L1" s="3450"/>
      <c r="N1" s="3450" t="s">
        <v>2580</v>
      </c>
      <c r="O1" s="3450"/>
      <c r="P1" s="3450"/>
      <c r="Q1" s="3450"/>
      <c r="R1" s="2654"/>
      <c r="S1" s="3450" t="s">
        <v>2581</v>
      </c>
      <c r="T1" s="3450"/>
      <c r="U1" s="3450"/>
      <c r="V1" s="3450"/>
      <c r="X1" s="3449" t="s">
        <v>2641</v>
      </c>
      <c r="Y1" s="3450"/>
      <c r="Z1" s="3450"/>
      <c r="AA1" s="3450"/>
      <c r="AB1" s="3450"/>
      <c r="AD1" s="3449" t="s">
        <v>2645</v>
      </c>
      <c r="AE1" s="3450"/>
      <c r="AF1" s="3450"/>
      <c r="AG1" s="3450"/>
      <c r="AH1" s="3450"/>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48">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4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4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4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4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4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4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4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4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4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4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4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4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4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4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4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4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4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4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4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4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4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4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4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4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4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4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4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4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4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4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4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4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4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4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4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4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45">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46">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46">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47">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45">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46">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46">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4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3" sqref="K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3172</v>
      </c>
      <c r="D1" s="3126" t="s">
        <v>3156</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673</v>
      </c>
      <c r="C2" s="2057"/>
      <c r="D2" s="2055"/>
      <c r="E2" s="2056"/>
      <c r="F2" s="2056"/>
      <c r="G2" s="1589"/>
      <c r="H2" s="2057"/>
      <c r="I2" s="2057"/>
      <c r="J2" s="2057"/>
      <c r="K2" s="2058"/>
      <c r="L2" s="2057"/>
      <c r="M2" s="2057"/>
    </row>
    <row r="3" spans="1:33" ht="18" customHeight="1" thickBot="1">
      <c r="A3" s="833" t="s">
        <v>1727</v>
      </c>
      <c r="B3" s="834">
        <f ca="1">IF(ISERROR(B2*10000/F43),0,ROUND(B2*10000/F43,0))</f>
        <v>8476</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49</v>
      </c>
      <c r="D5" s="2496" t="s">
        <v>2463</v>
      </c>
      <c r="E5" s="2490"/>
      <c r="F5" s="2491"/>
      <c r="G5" s="1591"/>
      <c r="H5" s="781">
        <v>1</v>
      </c>
      <c r="I5" s="782" t="s">
        <v>2460</v>
      </c>
      <c r="J5" s="55">
        <f ca="1">J6+J10+J12</f>
        <v>0</v>
      </c>
      <c r="K5" s="2496" t="s">
        <v>2463</v>
      </c>
      <c r="L5" s="2490"/>
      <c r="M5" s="2491"/>
    </row>
    <row r="6" spans="1:33" ht="18" customHeight="1">
      <c r="A6" s="1830" t="s">
        <v>1824</v>
      </c>
      <c r="B6" s="3439" t="s">
        <v>2465</v>
      </c>
      <c r="C6" s="783">
        <f ca="1">ROUND(F6*F8*F7*(1-F9)/10000,0)</f>
        <v>49</v>
      </c>
      <c r="D6" s="2497" t="s">
        <v>2464</v>
      </c>
      <c r="E6" s="784" t="s">
        <v>1738</v>
      </c>
      <c r="F6" s="785">
        <f ca="1">INDIRECT("'数据-取费表'!u"&amp;$G$1)</f>
        <v>2</v>
      </c>
      <c r="G6" s="1591"/>
      <c r="H6" s="2504" t="s">
        <v>2470</v>
      </c>
      <c r="I6" s="3439" t="s">
        <v>2465</v>
      </c>
      <c r="J6" s="783">
        <f ca="1">ROUND(M6*M8*M7*(1-M9)/10000,0)</f>
        <v>0</v>
      </c>
      <c r="K6" s="341" t="s">
        <v>1737</v>
      </c>
      <c r="L6" s="784" t="s">
        <v>1738</v>
      </c>
      <c r="M6" s="785">
        <f ca="1">INDIRECT("'数据-取费表'!z"&amp;$G$1)</f>
        <v>0</v>
      </c>
    </row>
    <row r="7" spans="1:33" ht="18" customHeight="1">
      <c r="A7" s="2500"/>
      <c r="B7" s="3440"/>
      <c r="C7" s="788"/>
      <c r="D7" s="789"/>
      <c r="E7" s="784" t="s">
        <v>1739</v>
      </c>
      <c r="F7" s="785">
        <f ca="1">IF(INDIRECT("'数据-取费表'!ah"&amp;$G$1)="",INDIRECT("'数据-取费表'!k"&amp;$G$1),INDIRECT("'数据-取费表'!ah"&amp;$G$1))</f>
        <v>794</v>
      </c>
      <c r="G7" s="1591"/>
      <c r="H7" s="2489"/>
      <c r="I7" s="3440"/>
      <c r="J7" s="788"/>
      <c r="K7" s="789"/>
      <c r="L7" s="784" t="s">
        <v>1739</v>
      </c>
      <c r="M7" s="785">
        <f ca="1">F7</f>
        <v>794</v>
      </c>
    </row>
    <row r="8" spans="1:33" ht="18" customHeight="1">
      <c r="A8" s="2493"/>
      <c r="B8" s="3441"/>
      <c r="C8" s="788"/>
      <c r="D8" s="789"/>
      <c r="E8" s="784" t="s">
        <v>1740</v>
      </c>
      <c r="F8" s="785">
        <f ca="1">INDIRECT("'数据-取费表'!ai"&amp;$G$1)</f>
        <v>365</v>
      </c>
      <c r="G8" s="1591"/>
      <c r="H8" s="2489"/>
      <c r="I8" s="3441"/>
      <c r="J8" s="788"/>
      <c r="K8" s="789"/>
      <c r="L8" s="784" t="s">
        <v>1740</v>
      </c>
      <c r="M8" s="785">
        <f ca="1">INDIRECT("'数据-取费表'!ai"&amp;$G$1)</f>
        <v>365</v>
      </c>
    </row>
    <row r="9" spans="1:33" ht="18" customHeight="1">
      <c r="A9" s="786"/>
      <c r="B9" s="3442"/>
      <c r="C9" s="788"/>
      <c r="D9" s="789"/>
      <c r="E9" s="784" t="s">
        <v>1741</v>
      </c>
      <c r="F9" s="794">
        <f ca="1">INDIRECT("'数据-取费表'!w"&amp;$G$1)</f>
        <v>0.15</v>
      </c>
      <c r="G9" s="1591"/>
      <c r="H9" s="2505"/>
      <c r="I9" s="3441"/>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0</v>
      </c>
      <c r="D13" s="1834" t="s">
        <v>2299</v>
      </c>
      <c r="E13" s="1834" t="s">
        <v>1744</v>
      </c>
      <c r="F13" s="2536">
        <f ca="1">INDIRECT("'数据-取费表'!y"&amp;$G$1)</f>
        <v>0</v>
      </c>
      <c r="G13" s="1591"/>
      <c r="H13" s="1829">
        <v>2</v>
      </c>
      <c r="I13" s="1827" t="s">
        <v>1742</v>
      </c>
      <c r="J13" s="1819">
        <f ca="1">ROUND(J14*J15,0)</f>
        <v>0</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345</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34</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29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5.3000000000000005E-2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-34</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5.0500000000000003E-2</v>
      </c>
      <c r="D28" s="812" t="s">
        <v>2301</v>
      </c>
      <c r="E28" s="784" t="s">
        <v>1785</v>
      </c>
      <c r="F28" s="809">
        <f>'数据-取费表'!B41</f>
        <v>5.3000000000000005E-2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345</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14</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8.4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2.5</v>
      </c>
      <c r="D32" s="1977" t="s">
        <v>1795</v>
      </c>
      <c r="E32" s="784" t="s">
        <v>1796</v>
      </c>
      <c r="F32" s="809">
        <f>'数据-取费表'!B41</f>
        <v>5.3000000000000005E-2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5.9</v>
      </c>
      <c r="D33" s="811" t="s">
        <v>3176</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0</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0</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0.5</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35</v>
      </c>
      <c r="D39" s="2548" t="s">
        <v>1806</v>
      </c>
      <c r="E39" s="2549"/>
      <c r="F39" s="2550"/>
      <c r="G39" s="2062"/>
      <c r="H39" s="2077"/>
      <c r="I39" s="837" t="s">
        <v>1818</v>
      </c>
      <c r="J39" s="845">
        <f ca="1">ROUND(J35/C39,3)</f>
        <v>0</v>
      </c>
      <c r="K39" s="2083"/>
      <c r="L39" s="2077"/>
      <c r="M39" s="2077"/>
    </row>
    <row r="40" spans="1:18" ht="18" customHeight="1">
      <c r="A40" s="781" t="s">
        <v>1895</v>
      </c>
      <c r="B40" s="2232" t="s">
        <v>2303</v>
      </c>
      <c r="C40" s="783">
        <f ca="1">ROUND(C39*(1-((1+F42)/(1+F40))^F41)/(F40-F42),0)</f>
        <v>673</v>
      </c>
      <c r="D40" s="814" t="s">
        <v>1807</v>
      </c>
      <c r="E40" s="784" t="s">
        <v>2421</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v>
      </c>
      <c r="K42" s="2082"/>
      <c r="L42" s="1988"/>
      <c r="M42" s="1988"/>
    </row>
    <row r="43" spans="1:18" ht="18" customHeight="1" thickBot="1">
      <c r="A43" s="823" t="s">
        <v>1787</v>
      </c>
      <c r="B43" s="824" t="s">
        <v>1810</v>
      </c>
      <c r="C43" s="825">
        <f ca="1">ROUND(C40*10000/F43,0)</f>
        <v>8476</v>
      </c>
      <c r="D43" s="826" t="s">
        <v>1811</v>
      </c>
      <c r="E43" s="827" t="s">
        <v>1812</v>
      </c>
      <c r="F43" s="828">
        <f ca="1">INDIRECT("'数据-取费表'!k"&amp;$G$1)</f>
        <v>794</v>
      </c>
      <c r="G43" s="2062"/>
      <c r="H43" s="1988"/>
      <c r="I43" s="847" t="s">
        <v>1822</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-743</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3016</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673</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345</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540</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55" t="s">
        <v>2972</v>
      </c>
      <c r="L53" s="3456"/>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689</v>
      </c>
      <c r="R54" s="2403" t="s">
        <v>2394</v>
      </c>
    </row>
    <row r="55" spans="1:18" s="2059" customFormat="1" ht="18" customHeight="1" thickTop="1" thickBot="1">
      <c r="A55" s="797">
        <v>2</v>
      </c>
      <c r="B55" s="798" t="s">
        <v>643</v>
      </c>
      <c r="C55" s="799">
        <f ca="1">C13</f>
        <v>0</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345</v>
      </c>
      <c r="D56" s="2639"/>
      <c r="E56" s="784"/>
      <c r="F56" s="809"/>
      <c r="I56" s="3168" t="s">
        <v>2359</v>
      </c>
      <c r="J56" s="3178" t="s">
        <v>3157</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5</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673</v>
      </c>
      <c r="R57" s="2399" t="s">
        <v>2382</v>
      </c>
    </row>
    <row r="58" spans="1:18" s="2059" customFormat="1" ht="28.5" customHeight="1" thickBot="1">
      <c r="A58" s="1648" t="s">
        <v>1824</v>
      </c>
      <c r="B58" s="784" t="s">
        <v>655</v>
      </c>
      <c r="C58" s="53">
        <f ca="1">ROUND(IF(项目基本情况!B11="自然人",C47*F58,C59+C60+C61),1)</f>
        <v>0</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5.3000000000000005E-2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v>
      </c>
      <c r="D61" s="814" t="s">
        <v>668</v>
      </c>
      <c r="E61" s="784" t="s">
        <v>669</v>
      </c>
      <c r="F61" s="640">
        <f t="shared" si="0"/>
        <v>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673</v>
      </c>
      <c r="R63" s="2403" t="s">
        <v>2394</v>
      </c>
    </row>
    <row r="64" spans="1:18" s="2059" customFormat="1" ht="16.5" thickBot="1">
      <c r="A64" s="1648" t="s">
        <v>1890</v>
      </c>
      <c r="B64" s="784" t="s">
        <v>678</v>
      </c>
      <c r="C64" s="53">
        <f ca="1">ROUND(C55*F64,1)</f>
        <v>0</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-5</v>
      </c>
      <c r="D66" s="2638" t="s">
        <v>699</v>
      </c>
      <c r="E66" s="2637"/>
      <c r="F66" s="820"/>
      <c r="K66" s="2086"/>
      <c r="O66" s="2398" t="s">
        <v>2381</v>
      </c>
      <c r="P66" s="2399" t="s">
        <v>2411</v>
      </c>
      <c r="Q66" s="2400">
        <f ca="1">C40+J29</f>
        <v>673</v>
      </c>
      <c r="R66" s="2399" t="s">
        <v>2382</v>
      </c>
    </row>
    <row r="67" spans="1:18" s="2059" customFormat="1" ht="20.25" thickBot="1">
      <c r="A67" s="781" t="s">
        <v>1780</v>
      </c>
      <c r="B67" s="2232" t="s">
        <v>2303</v>
      </c>
      <c r="C67" s="783">
        <f ca="1">ROUND(C66*(1-((1+F69)/(1+F67))^F68)/(F67-F69),0)</f>
        <v>-70</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27.3</v>
      </c>
      <c r="O68" s="2401" t="s">
        <v>2385</v>
      </c>
      <c r="P68" s="2399" t="s">
        <v>2415</v>
      </c>
      <c r="Q68" s="2405">
        <f ca="1">L51</f>
        <v>540</v>
      </c>
      <c r="R68" s="2406" t="s">
        <v>2418</v>
      </c>
    </row>
    <row r="69" spans="1:18" ht="20.25" thickBot="1">
      <c r="A69" s="790"/>
      <c r="B69" s="791"/>
      <c r="C69" s="792"/>
      <c r="D69" s="816"/>
      <c r="E69" s="784" t="s">
        <v>709</v>
      </c>
      <c r="F69" s="2371"/>
      <c r="O69" s="2401" t="s">
        <v>2386</v>
      </c>
      <c r="P69" s="2407" t="s">
        <v>2400</v>
      </c>
      <c r="Q69" s="2400">
        <f ca="1">ROUND(Q70-Q71*Q72,0)</f>
        <v>35</v>
      </c>
      <c r="R69" s="2403"/>
    </row>
    <row r="70" spans="1:18" ht="15.75" thickBot="1">
      <c r="A70" s="823" t="s">
        <v>1787</v>
      </c>
      <c r="B70" s="824" t="s">
        <v>1810</v>
      </c>
      <c r="C70" s="825">
        <f ca="1">ROUND(C67*10000/F70,0)</f>
        <v>-882</v>
      </c>
      <c r="D70" s="826" t="s">
        <v>1811</v>
      </c>
      <c r="E70" s="827" t="s">
        <v>1812</v>
      </c>
      <c r="F70" s="828">
        <f ca="1">F43</f>
        <v>794</v>
      </c>
      <c r="O70" s="2401" t="s">
        <v>2401</v>
      </c>
      <c r="P70" s="2407" t="s">
        <v>2402</v>
      </c>
      <c r="Q70" s="2400">
        <f ca="1">C39</f>
        <v>35</v>
      </c>
      <c r="R70" s="2399" t="s">
        <v>2382</v>
      </c>
    </row>
    <row r="71" spans="1:18" ht="15.75" thickBot="1">
      <c r="O71" s="2401" t="s">
        <v>2403</v>
      </c>
      <c r="P71" s="2407" t="s">
        <v>2404</v>
      </c>
      <c r="Q71" s="2400">
        <f ca="1">C13</f>
        <v>0</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673</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7" t="s">
        <v>2473</v>
      </c>
      <c r="B1" s="3458"/>
      <c r="C1" s="3459"/>
      <c r="D1" s="3460">
        <f>SUM(I10,I15,I20,I21,I23)</f>
        <v>0</v>
      </c>
      <c r="E1" s="3460"/>
      <c r="F1" s="3460"/>
      <c r="G1" s="3460"/>
      <c r="H1" s="3460"/>
      <c r="I1" s="3461"/>
    </row>
    <row r="2" spans="1:9">
      <c r="A2" s="3462" t="s">
        <v>2474</v>
      </c>
      <c r="B2" s="3463" t="s">
        <v>2475</v>
      </c>
      <c r="C2" s="3463"/>
      <c r="D2" s="2507" t="s">
        <v>2476</v>
      </c>
      <c r="E2" s="2507" t="s">
        <v>2477</v>
      </c>
      <c r="F2" s="2507" t="s">
        <v>2478</v>
      </c>
      <c r="G2" s="2507" t="s">
        <v>2479</v>
      </c>
      <c r="H2" s="2507" t="s">
        <v>2480</v>
      </c>
      <c r="I2" s="2508" t="s">
        <v>2481</v>
      </c>
    </row>
    <row r="3" spans="1:9">
      <c r="A3" s="3462"/>
      <c r="B3" s="3463" t="s">
        <v>2482</v>
      </c>
      <c r="C3" s="3463"/>
      <c r="D3" s="2509"/>
      <c r="E3" s="2507"/>
      <c r="F3" s="2510"/>
      <c r="G3" s="2510"/>
      <c r="H3" s="2511"/>
      <c r="I3" s="2512">
        <f>ROUND(D3*E3*F3*G3*H3/10000,0)</f>
        <v>0</v>
      </c>
    </row>
    <row r="4" spans="1:9">
      <c r="A4" s="3462"/>
      <c r="B4" s="3463" t="s">
        <v>2483</v>
      </c>
      <c r="C4" s="3463"/>
      <c r="D4" s="2509"/>
      <c r="E4" s="2507"/>
      <c r="F4" s="2510"/>
      <c r="G4" s="2510"/>
      <c r="H4" s="2511"/>
      <c r="I4" s="2512">
        <f t="shared" ref="I4:I9" si="0">ROUND(D4*E4*F4*G4*H4/10000,0)</f>
        <v>0</v>
      </c>
    </row>
    <row r="5" spans="1:9">
      <c r="A5" s="3462"/>
      <c r="B5" s="3463" t="s">
        <v>2484</v>
      </c>
      <c r="C5" s="3463"/>
      <c r="D5" s="2509"/>
      <c r="E5" s="2507"/>
      <c r="F5" s="2510"/>
      <c r="G5" s="2510"/>
      <c r="H5" s="2511"/>
      <c r="I5" s="2512">
        <f t="shared" si="0"/>
        <v>0</v>
      </c>
    </row>
    <row r="6" spans="1:9">
      <c r="A6" s="3462"/>
      <c r="B6" s="3463" t="s">
        <v>2485</v>
      </c>
      <c r="C6" s="3463"/>
      <c r="D6" s="2509"/>
      <c r="E6" s="2507"/>
      <c r="F6" s="2510"/>
      <c r="G6" s="2510"/>
      <c r="H6" s="2511"/>
      <c r="I6" s="2512">
        <f t="shared" si="0"/>
        <v>0</v>
      </c>
    </row>
    <row r="7" spans="1:9">
      <c r="A7" s="3462"/>
      <c r="B7" s="3463" t="s">
        <v>2486</v>
      </c>
      <c r="C7" s="3463"/>
      <c r="D7" s="2509"/>
      <c r="E7" s="2507"/>
      <c r="F7" s="2510"/>
      <c r="G7" s="2510"/>
      <c r="H7" s="2511"/>
      <c r="I7" s="2512">
        <f t="shared" si="0"/>
        <v>0</v>
      </c>
    </row>
    <row r="8" spans="1:9">
      <c r="A8" s="3462"/>
      <c r="B8" s="3463" t="s">
        <v>2487</v>
      </c>
      <c r="C8" s="3463"/>
      <c r="D8" s="2509"/>
      <c r="E8" s="2507"/>
      <c r="F8" s="2510"/>
      <c r="G8" s="2510"/>
      <c r="H8" s="2511"/>
      <c r="I8" s="2512">
        <f t="shared" si="0"/>
        <v>0</v>
      </c>
    </row>
    <row r="9" spans="1:9">
      <c r="A9" s="3462"/>
      <c r="B9" s="3463" t="s">
        <v>2488</v>
      </c>
      <c r="C9" s="3463"/>
      <c r="D9" s="2509"/>
      <c r="E9" s="2507"/>
      <c r="F9" s="2510"/>
      <c r="G9" s="2510"/>
      <c r="H9" s="2511"/>
      <c r="I9" s="2512">
        <f t="shared" si="0"/>
        <v>0</v>
      </c>
    </row>
    <row r="10" spans="1:9">
      <c r="A10" s="3462"/>
      <c r="B10" s="3464" t="s">
        <v>2489</v>
      </c>
      <c r="C10" s="3464"/>
      <c r="D10" s="2513">
        <v>527</v>
      </c>
      <c r="E10" s="2513" t="e">
        <f>ROUND(D1*10000/D10/H9,0)</f>
        <v>#DIV/0!</v>
      </c>
      <c r="F10" s="2514"/>
      <c r="G10" s="2514"/>
      <c r="H10" s="2515"/>
      <c r="I10" s="2516">
        <f>SUM(I3:I9)</f>
        <v>0</v>
      </c>
    </row>
    <row r="11" spans="1:9" ht="14.25">
      <c r="A11" s="3462" t="s">
        <v>2490</v>
      </c>
      <c r="B11" s="3463" t="s">
        <v>2491</v>
      </c>
      <c r="C11" s="3463"/>
      <c r="D11" s="2509" t="s">
        <v>2492</v>
      </c>
      <c r="E11" s="2509" t="s">
        <v>2493</v>
      </c>
      <c r="F11" s="2510" t="s">
        <v>2494</v>
      </c>
      <c r="G11" s="2510" t="s">
        <v>2495</v>
      </c>
      <c r="H11" s="2517" t="s">
        <v>2496</v>
      </c>
      <c r="I11" s="2508" t="s">
        <v>2497</v>
      </c>
    </row>
    <row r="12" spans="1:9">
      <c r="A12" s="3462"/>
      <c r="B12" s="3463" t="s">
        <v>2498</v>
      </c>
      <c r="C12" s="3463"/>
      <c r="D12" s="2509"/>
      <c r="E12" s="2509"/>
      <c r="F12" s="2510"/>
      <c r="G12" s="2511"/>
      <c r="H12" s="2518"/>
      <c r="I12" s="2508">
        <f>ROUND(D12*E12*F12*G12/10000,0)</f>
        <v>0</v>
      </c>
    </row>
    <row r="13" spans="1:9">
      <c r="A13" s="3462"/>
      <c r="B13" s="3463" t="s">
        <v>2499</v>
      </c>
      <c r="C13" s="3463"/>
      <c r="D13" s="2509"/>
      <c r="E13" s="2509"/>
      <c r="F13" s="2510"/>
      <c r="G13" s="2511"/>
      <c r="H13" s="2518"/>
      <c r="I13" s="2508">
        <f>ROUND(D13*E13*F13*G13/10000,0)</f>
        <v>0</v>
      </c>
    </row>
    <row r="14" spans="1:9">
      <c r="A14" s="3462"/>
      <c r="B14" s="3463" t="s">
        <v>2500</v>
      </c>
      <c r="C14" s="3463"/>
      <c r="D14" s="2509"/>
      <c r="E14" s="2509"/>
      <c r="F14" s="2510"/>
      <c r="G14" s="2511"/>
      <c r="H14" s="2518"/>
      <c r="I14" s="2508">
        <f>ROUND(D14*E14*F14*G14/10000,0)</f>
        <v>0</v>
      </c>
    </row>
    <row r="15" spans="1:9">
      <c r="A15" s="3462"/>
      <c r="B15" s="3464" t="s">
        <v>2489</v>
      </c>
      <c r="C15" s="3464"/>
      <c r="D15" s="2513"/>
      <c r="E15" s="2513">
        <f>SUM(E12:E14)</f>
        <v>0</v>
      </c>
      <c r="F15" s="2514"/>
      <c r="G15" s="2511"/>
      <c r="H15" s="2518"/>
      <c r="I15" s="2519">
        <f>SUM(I12:I14)</f>
        <v>0</v>
      </c>
    </row>
    <row r="16" spans="1:9" ht="24">
      <c r="A16" s="3462" t="s">
        <v>2501</v>
      </c>
      <c r="B16" s="3463" t="s">
        <v>2502</v>
      </c>
      <c r="C16" s="3463"/>
      <c r="D16" s="2509" t="s">
        <v>2503</v>
      </c>
      <c r="E16" s="2520" t="s">
        <v>2504</v>
      </c>
      <c r="F16" s="2510" t="s">
        <v>2505</v>
      </c>
      <c r="G16" s="2511" t="s">
        <v>2495</v>
      </c>
      <c r="H16" s="2517" t="s">
        <v>2496</v>
      </c>
      <c r="I16" s="2508" t="s">
        <v>2497</v>
      </c>
    </row>
    <row r="17" spans="1:9" ht="14.25">
      <c r="A17" s="3462"/>
      <c r="B17" s="3463" t="s">
        <v>2506</v>
      </c>
      <c r="C17" s="3463"/>
      <c r="D17" s="2509"/>
      <c r="E17" s="2509"/>
      <c r="F17" s="2510"/>
      <c r="G17" s="2511"/>
      <c r="H17" s="2521"/>
      <c r="I17" s="2522">
        <f>ROUND(D17*E17*F17*G17/10000,0)</f>
        <v>0</v>
      </c>
    </row>
    <row r="18" spans="1:9" ht="14.25">
      <c r="A18" s="3462"/>
      <c r="B18" s="3463" t="s">
        <v>2507</v>
      </c>
      <c r="C18" s="3463"/>
      <c r="D18" s="2509"/>
      <c r="E18" s="2509"/>
      <c r="F18" s="2510"/>
      <c r="G18" s="2511"/>
      <c r="H18" s="2521"/>
      <c r="I18" s="2522">
        <f>ROUND(D18*E18*F18*G18/10000,0)</f>
        <v>0</v>
      </c>
    </row>
    <row r="19" spans="1:9" ht="14.25">
      <c r="A19" s="3462"/>
      <c r="B19" s="3463" t="s">
        <v>2508</v>
      </c>
      <c r="C19" s="3463"/>
      <c r="D19" s="2509"/>
      <c r="E19" s="2509"/>
      <c r="F19" s="2510"/>
      <c r="G19" s="2511"/>
      <c r="H19" s="2521"/>
      <c r="I19" s="2522">
        <f>ROUND(D19*E19*F19*G19/10000,0)</f>
        <v>0</v>
      </c>
    </row>
    <row r="20" spans="1:9">
      <c r="A20" s="3462"/>
      <c r="B20" s="3464" t="s">
        <v>2489</v>
      </c>
      <c r="C20" s="3464"/>
      <c r="D20" s="2513">
        <f>SUM(D17:D19)</f>
        <v>0</v>
      </c>
      <c r="E20" s="2513"/>
      <c r="F20" s="2514"/>
      <c r="G20" s="2511"/>
      <c r="H20" s="2518"/>
      <c r="I20" s="2519">
        <f>SUM(I17:I19)</f>
        <v>0</v>
      </c>
    </row>
    <row r="21" spans="1:9">
      <c r="A21" s="3462" t="s">
        <v>2509</v>
      </c>
      <c r="B21" s="3466"/>
      <c r="C21" s="3466"/>
      <c r="D21" s="3466"/>
      <c r="E21" s="3466"/>
      <c r="F21" s="3466"/>
      <c r="G21" s="3466"/>
      <c r="H21" s="2523">
        <v>0.1</v>
      </c>
      <c r="I21" s="2516">
        <f>ROUND(I10*H21,0)</f>
        <v>0</v>
      </c>
    </row>
    <row r="22" spans="1:9" ht="14.25">
      <c r="A22" s="3467" t="s">
        <v>2510</v>
      </c>
      <c r="B22" s="3468"/>
      <c r="C22" s="3469"/>
      <c r="D22" s="2524" t="s">
        <v>2511</v>
      </c>
      <c r="E22" s="2524" t="s">
        <v>2512</v>
      </c>
      <c r="F22" s="2525" t="s">
        <v>2513</v>
      </c>
      <c r="G22" s="2525" t="s">
        <v>2514</v>
      </c>
      <c r="H22" s="2517" t="s">
        <v>2515</v>
      </c>
      <c r="I22" s="2508" t="s">
        <v>2516</v>
      </c>
    </row>
    <row r="23" spans="1:9" ht="14.25" thickBot="1">
      <c r="A23" s="3470"/>
      <c r="B23" s="3471"/>
      <c r="C23" s="3472"/>
      <c r="D23" s="2526"/>
      <c r="E23" s="2526"/>
      <c r="F23" s="2526"/>
      <c r="G23" s="2527"/>
      <c r="H23" s="2528"/>
      <c r="I23" s="2529">
        <f>ROUND(E23*D23*F23*(1-G23)/10000,0)</f>
        <v>0</v>
      </c>
    </row>
    <row r="26" spans="1:9">
      <c r="A26" s="2530" t="s">
        <v>2517</v>
      </c>
      <c r="B26" s="2530"/>
      <c r="C26" s="2530"/>
      <c r="D26" s="2530"/>
      <c r="E26" s="3473">
        <f>C27-C30-C31-C32</f>
        <v>0</v>
      </c>
      <c r="F26" s="3473"/>
      <c r="G26" s="3473"/>
      <c r="H26" s="3044" t="s">
        <v>2845</v>
      </c>
    </row>
    <row r="27" spans="1:9">
      <c r="A27" s="2531">
        <v>1</v>
      </c>
      <c r="B27" s="2532" t="s">
        <v>2518</v>
      </c>
      <c r="C27" s="2532"/>
      <c r="D27" s="2532"/>
      <c r="E27" s="3474"/>
      <c r="F27" s="3474"/>
      <c r="G27" s="3474"/>
    </row>
    <row r="28" spans="1:9">
      <c r="A28" s="2533" t="s">
        <v>2519</v>
      </c>
      <c r="B28" s="2532" t="s">
        <v>2520</v>
      </c>
      <c r="C28" s="2532"/>
      <c r="D28" s="2532"/>
      <c r="E28" s="3474"/>
      <c r="F28" s="3474"/>
      <c r="G28" s="3474"/>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5"/>
      <c r="F32" s="3465"/>
      <c r="G32" s="3465"/>
    </row>
    <row r="33" spans="1:7" hidden="1">
      <c r="A33" s="3475" t="s">
        <v>2528</v>
      </c>
      <c r="B33" s="3476"/>
      <c r="C33" s="3476"/>
      <c r="D33" s="3477"/>
      <c r="E33" s="3473"/>
      <c r="F33" s="3473"/>
      <c r="G33" s="3473"/>
    </row>
    <row r="34" spans="1:7" hidden="1">
      <c r="A34" s="2535">
        <v>1</v>
      </c>
      <c r="B34" s="2532" t="s">
        <v>2529</v>
      </c>
      <c r="C34" s="2532"/>
      <c r="D34" s="2532"/>
      <c r="E34" s="3474"/>
      <c r="F34" s="3474"/>
      <c r="G34" s="3474"/>
    </row>
    <row r="35" spans="1:7" hidden="1">
      <c r="A35" s="2535">
        <v>2</v>
      </c>
      <c r="B35" s="2532" t="s">
        <v>2530</v>
      </c>
      <c r="C35" s="2532"/>
      <c r="D35" s="2532"/>
      <c r="E35" s="3474"/>
      <c r="F35" s="3474"/>
      <c r="G35" s="3474"/>
    </row>
    <row r="36" spans="1:7" hidden="1">
      <c r="A36" s="2535">
        <v>3</v>
      </c>
      <c r="B36" s="2532" t="s">
        <v>2531</v>
      </c>
      <c r="C36" s="2532"/>
      <c r="D36" s="2532"/>
      <c r="E36" s="3474"/>
      <c r="F36" s="3474"/>
      <c r="G36" s="3474"/>
    </row>
    <row r="37" spans="1:7" hidden="1">
      <c r="A37" s="2535">
        <v>4</v>
      </c>
      <c r="B37" s="2532" t="s">
        <v>2532</v>
      </c>
      <c r="C37" s="2532"/>
      <c r="D37" s="2532"/>
      <c r="E37" s="3474"/>
      <c r="F37" s="3474"/>
      <c r="G37" s="3474"/>
    </row>
    <row r="38" spans="1:7" hidden="1">
      <c r="A38" s="3475" t="s">
        <v>2533</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1" sqref="K1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3170</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9879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13830.1</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71" t="s">
        <v>521</v>
      </c>
      <c r="D4" s="3372"/>
      <c r="E4" s="3406" t="s">
        <v>522</v>
      </c>
      <c r="F4" s="3407"/>
      <c r="G4" s="3371" t="s">
        <v>523</v>
      </c>
      <c r="H4" s="3372"/>
      <c r="I4" s="3371" t="s">
        <v>524</v>
      </c>
      <c r="J4" s="3372"/>
      <c r="K4" s="853" t="s">
        <v>525</v>
      </c>
      <c r="L4" s="2133"/>
      <c r="M4" s="2134"/>
      <c r="N4" s="2134"/>
      <c r="O4" s="2134"/>
      <c r="P4" s="3373" t="s">
        <v>526</v>
      </c>
      <c r="Q4" s="3374"/>
      <c r="R4" s="3379" t="s">
        <v>522</v>
      </c>
      <c r="S4" s="3380"/>
      <c r="T4" s="3379" t="s">
        <v>523</v>
      </c>
      <c r="U4" s="3380"/>
      <c r="V4" s="3366" t="s">
        <v>524</v>
      </c>
      <c r="W4" s="3366"/>
      <c r="X4" s="1566"/>
      <c r="Y4" s="3379" t="s">
        <v>526</v>
      </c>
      <c r="Z4" s="3380"/>
      <c r="AA4" s="3368" t="s">
        <v>522</v>
      </c>
      <c r="AB4" s="3368" t="s">
        <v>523</v>
      </c>
      <c r="AC4" s="3368" t="s">
        <v>524</v>
      </c>
    </row>
    <row r="5" spans="1:29" ht="15">
      <c r="A5" s="515"/>
      <c r="B5" s="516"/>
      <c r="C5" s="3387" t="s">
        <v>3002</v>
      </c>
      <c r="D5" s="3388"/>
      <c r="E5" s="3481" t="s">
        <v>3005</v>
      </c>
      <c r="F5" s="3409"/>
      <c r="G5" s="3387" t="s">
        <v>3141</v>
      </c>
      <c r="H5" s="3388"/>
      <c r="I5" s="3387" t="s">
        <v>2999</v>
      </c>
      <c r="J5" s="3388"/>
      <c r="K5" s="85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85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396" t="s">
        <v>529</v>
      </c>
      <c r="Q7" s="3398"/>
      <c r="R7" s="1567" t="s">
        <v>13</v>
      </c>
      <c r="S7" s="1568">
        <f t="shared" ref="S7:S15" si="0">F7</f>
        <v>100</v>
      </c>
      <c r="T7" s="1567" t="s">
        <v>13</v>
      </c>
      <c r="U7" s="1568">
        <f t="shared" ref="U7:U15" si="1">H7</f>
        <v>100</v>
      </c>
      <c r="V7" s="1567" t="s">
        <v>13</v>
      </c>
      <c r="W7" s="1568">
        <f t="shared" ref="W7:W15" si="2">J7</f>
        <v>100</v>
      </c>
      <c r="X7" s="1569"/>
      <c r="Y7" s="3396" t="s">
        <v>529</v>
      </c>
      <c r="Z7" s="3397"/>
      <c r="AA7" s="1570">
        <f>D7/F7</f>
        <v>1</v>
      </c>
      <c r="AB7" s="1570">
        <f>D7/H7</f>
        <v>1</v>
      </c>
      <c r="AC7" s="1570">
        <f>D7/J7</f>
        <v>1</v>
      </c>
    </row>
    <row r="8" spans="1:29" s="1219" customFormat="1" ht="15.75" thickBot="1">
      <c r="A8" s="2913"/>
      <c r="B8" s="2920" t="s">
        <v>530</v>
      </c>
      <c r="C8" s="525" t="s">
        <v>575</v>
      </c>
      <c r="D8" s="520">
        <v>100</v>
      </c>
      <c r="E8" s="856" t="s">
        <v>3000</v>
      </c>
      <c r="F8" s="522">
        <f>SUMIF(61:61,E8,62:62)-SUMIF(61:61,C8,62:62)+100</f>
        <v>100</v>
      </c>
      <c r="G8" s="525" t="s">
        <v>3000</v>
      </c>
      <c r="H8" s="520">
        <f>SUMIF(61:61,G8,62:62)-SUMIF(61:61,C8,62:62)+100</f>
        <v>100</v>
      </c>
      <c r="I8" s="856" t="s">
        <v>3000</v>
      </c>
      <c r="J8" s="520">
        <f>SUMIF(61:61,I8,62:62)-SUMIF(61:61,C8,62:62)+100</f>
        <v>100</v>
      </c>
      <c r="K8" s="855"/>
      <c r="L8" s="2135"/>
      <c r="M8" s="2136"/>
      <c r="N8" s="2136"/>
      <c r="O8" s="2136"/>
      <c r="P8" s="3396" t="s">
        <v>532</v>
      </c>
      <c r="Q8" s="3397"/>
      <c r="R8" s="1567" t="s">
        <v>13</v>
      </c>
      <c r="S8" s="1568">
        <f t="shared" si="0"/>
        <v>100</v>
      </c>
      <c r="T8" s="1567" t="s">
        <v>13</v>
      </c>
      <c r="U8" s="1568">
        <f t="shared" si="1"/>
        <v>100</v>
      </c>
      <c r="V8" s="1567" t="s">
        <v>13</v>
      </c>
      <c r="W8" s="1568">
        <f t="shared" si="2"/>
        <v>100</v>
      </c>
      <c r="X8" s="1569"/>
      <c r="Y8" s="3396" t="s">
        <v>532</v>
      </c>
      <c r="Z8" s="3397"/>
      <c r="AA8" s="1570">
        <f t="shared" ref="AA8:AA46" si="3">D8/F8</f>
        <v>1</v>
      </c>
      <c r="AB8" s="1570">
        <f t="shared" ref="AB8:AB46" si="4">D8/H8</f>
        <v>1</v>
      </c>
      <c r="AC8" s="1570">
        <f t="shared" ref="AC8:AC46" si="5">D8/J8</f>
        <v>1</v>
      </c>
    </row>
    <row r="9" spans="1:29" s="1219" customFormat="1" ht="15">
      <c r="A9" s="2914"/>
      <c r="B9" s="2921" t="s">
        <v>2758</v>
      </c>
      <c r="C9" s="3187" t="s">
        <v>3142</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65"/>
      <c r="Q11" s="1150" t="str">
        <f t="shared" si="6"/>
        <v>容积率</v>
      </c>
      <c r="R11" s="1567" t="s">
        <v>11</v>
      </c>
      <c r="S11" s="1568">
        <f t="shared" si="0"/>
        <v>100</v>
      </c>
      <c r="T11" s="1567" t="s">
        <v>11</v>
      </c>
      <c r="U11" s="1568">
        <f t="shared" si="1"/>
        <v>100</v>
      </c>
      <c r="V11" s="1567" t="s">
        <v>11</v>
      </c>
      <c r="W11" s="1568">
        <f t="shared" si="2"/>
        <v>100</v>
      </c>
      <c r="X11" s="1569"/>
      <c r="Y11" s="3311"/>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5"/>
      <c r="Q12" s="1150">
        <f t="shared" si="6"/>
        <v>111</v>
      </c>
      <c r="R12" s="1567" t="s">
        <v>11</v>
      </c>
      <c r="S12" s="1568">
        <f t="shared" si="0"/>
        <v>100</v>
      </c>
      <c r="T12" s="1567" t="s">
        <v>11</v>
      </c>
      <c r="U12" s="1568">
        <f t="shared" si="1"/>
        <v>100</v>
      </c>
      <c r="V12" s="1567" t="s">
        <v>11</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5"/>
      <c r="Q13" s="1150">
        <f t="shared" si="6"/>
        <v>111</v>
      </c>
      <c r="R13" s="1567" t="s">
        <v>11</v>
      </c>
      <c r="S13" s="1568">
        <f t="shared" si="0"/>
        <v>100</v>
      </c>
      <c r="T13" s="1567" t="s">
        <v>11</v>
      </c>
      <c r="U13" s="1568">
        <f t="shared" si="1"/>
        <v>100</v>
      </c>
      <c r="V13" s="1567" t="s">
        <v>11</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5"/>
      <c r="Q14" s="1150">
        <f t="shared" si="6"/>
        <v>111</v>
      </c>
      <c r="R14" s="1567" t="s">
        <v>11</v>
      </c>
      <c r="S14" s="1568">
        <f t="shared" si="0"/>
        <v>100</v>
      </c>
      <c r="T14" s="1567" t="s">
        <v>11</v>
      </c>
      <c r="U14" s="1568">
        <f t="shared" si="1"/>
        <v>100</v>
      </c>
      <c r="V14" s="1567" t="s">
        <v>11</v>
      </c>
      <c r="W14" s="1568">
        <f t="shared" si="2"/>
        <v>100</v>
      </c>
      <c r="X14" s="1569"/>
      <c r="Y14" s="3311"/>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100</v>
      </c>
      <c r="K15" s="868">
        <v>5</v>
      </c>
      <c r="L15" s="2142"/>
      <c r="M15" s="2134"/>
      <c r="N15" s="2134"/>
      <c r="O15" s="2141"/>
      <c r="P15" s="3399" t="s">
        <v>539</v>
      </c>
      <c r="Q15" s="1571" t="str">
        <f t="shared" si="6"/>
        <v>居住社区成熟度</v>
      </c>
      <c r="R15" s="1572" t="s">
        <v>11</v>
      </c>
      <c r="S15" s="1573">
        <f t="shared" si="0"/>
        <v>105</v>
      </c>
      <c r="T15" s="1572" t="s">
        <v>11</v>
      </c>
      <c r="U15" s="1573">
        <f t="shared" si="1"/>
        <v>105</v>
      </c>
      <c r="V15" s="1572" t="s">
        <v>11</v>
      </c>
      <c r="W15" s="1573">
        <f t="shared" si="2"/>
        <v>100</v>
      </c>
      <c r="X15" s="1566"/>
      <c r="Y15" s="3399" t="s">
        <v>539</v>
      </c>
      <c r="Z15" s="1574" t="str">
        <f t="shared" si="7"/>
        <v>居住社区成熟度</v>
      </c>
      <c r="AA15" s="1575">
        <f t="shared" si="3"/>
        <v>0.95238095238095233</v>
      </c>
      <c r="AB15" s="1575">
        <f t="shared" si="4"/>
        <v>0.95238095238095233</v>
      </c>
      <c r="AC15" s="1575">
        <f t="shared" si="5"/>
        <v>1</v>
      </c>
    </row>
    <row r="16" spans="1:29" ht="15">
      <c r="A16" s="532"/>
      <c r="B16" s="869"/>
      <c r="C16" s="576" t="s">
        <v>3003</v>
      </c>
      <c r="D16" s="555"/>
      <c r="E16" s="556" t="s">
        <v>3006</v>
      </c>
      <c r="F16" s="557"/>
      <c r="G16" s="558" t="s">
        <v>3006</v>
      </c>
      <c r="H16" s="559"/>
      <c r="I16" s="556" t="s">
        <v>3003</v>
      </c>
      <c r="J16" s="555"/>
      <c r="K16" s="870"/>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00"/>
      <c r="Q17" s="1571" t="str">
        <f>B17</f>
        <v>交通便捷度</v>
      </c>
      <c r="R17" s="1572" t="s">
        <v>11</v>
      </c>
      <c r="S17" s="1573">
        <f>F17</f>
        <v>103</v>
      </c>
      <c r="T17" s="1572" t="s">
        <v>11</v>
      </c>
      <c r="U17" s="1573">
        <f>H17</f>
        <v>103</v>
      </c>
      <c r="V17" s="1572" t="s">
        <v>11</v>
      </c>
      <c r="W17" s="1573">
        <f>J17</f>
        <v>100</v>
      </c>
      <c r="X17" s="1566"/>
      <c r="Y17" s="3400"/>
      <c r="Z17" s="1574" t="str">
        <f>Q17</f>
        <v>交通便捷度</v>
      </c>
      <c r="AA17" s="1575">
        <f t="shared" si="3"/>
        <v>0.970873786407767</v>
      </c>
      <c r="AB17" s="1575">
        <f t="shared" si="4"/>
        <v>0.970873786407767</v>
      </c>
      <c r="AC17" s="1575">
        <f t="shared" si="5"/>
        <v>1</v>
      </c>
    </row>
    <row r="18" spans="1:29" ht="15">
      <c r="A18" s="532"/>
      <c r="B18" s="595"/>
      <c r="C18" s="873" t="s">
        <v>3003</v>
      </c>
      <c r="D18" s="559"/>
      <c r="E18" s="568" t="s">
        <v>3006</v>
      </c>
      <c r="F18" s="563"/>
      <c r="G18" s="569" t="s">
        <v>3006</v>
      </c>
      <c r="H18" s="555"/>
      <c r="I18" s="568" t="s">
        <v>3003</v>
      </c>
      <c r="J18" s="555"/>
      <c r="K18" s="870"/>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00"/>
      <c r="Q19" s="1571" t="str">
        <f>B19</f>
        <v>公共配套设施</v>
      </c>
      <c r="R19" s="1572" t="s">
        <v>11</v>
      </c>
      <c r="S19" s="1573">
        <f>F19</f>
        <v>100</v>
      </c>
      <c r="T19" s="1572" t="s">
        <v>11</v>
      </c>
      <c r="U19" s="1573">
        <f>H19</f>
        <v>100</v>
      </c>
      <c r="V19" s="1572" t="s">
        <v>11</v>
      </c>
      <c r="W19" s="1573">
        <f>J19</f>
        <v>100</v>
      </c>
      <c r="X19" s="1566"/>
      <c r="Y19" s="3400"/>
      <c r="Z19" s="1574" t="str">
        <f>Q19</f>
        <v>公共配套设施</v>
      </c>
      <c r="AA19" s="1575">
        <f t="shared" si="3"/>
        <v>1</v>
      </c>
      <c r="AB19" s="1575">
        <f t="shared" si="4"/>
        <v>1</v>
      </c>
      <c r="AC19" s="1575">
        <f t="shared" si="5"/>
        <v>1</v>
      </c>
    </row>
    <row r="20" spans="1:29" ht="15">
      <c r="A20" s="532"/>
      <c r="B20" s="595"/>
      <c r="C20" s="576" t="s">
        <v>3003</v>
      </c>
      <c r="D20" s="555"/>
      <c r="E20" s="556" t="s">
        <v>3003</v>
      </c>
      <c r="F20" s="557"/>
      <c r="G20" s="558" t="s">
        <v>3003</v>
      </c>
      <c r="H20" s="555"/>
      <c r="I20" s="556" t="s">
        <v>3003</v>
      </c>
      <c r="J20" s="555"/>
      <c r="K20" s="870"/>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0"/>
      <c r="Q21" s="2579" t="str">
        <f>B21</f>
        <v>基础设施水平</v>
      </c>
      <c r="R21" s="1572" t="s">
        <v>11</v>
      </c>
      <c r="S21" s="1573">
        <f>F21</f>
        <v>100</v>
      </c>
      <c r="T21" s="1572" t="s">
        <v>11</v>
      </c>
      <c r="U21" s="1573">
        <f>H21</f>
        <v>100</v>
      </c>
      <c r="V21" s="1572" t="s">
        <v>11</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922"/>
      <c r="C22" s="873" t="s">
        <v>3024</v>
      </c>
      <c r="D22" s="555"/>
      <c r="E22" s="576" t="s">
        <v>3024</v>
      </c>
      <c r="F22" s="557"/>
      <c r="G22" s="576" t="s">
        <v>3024</v>
      </c>
      <c r="H22" s="555"/>
      <c r="I22" s="576" t="s">
        <v>3024</v>
      </c>
      <c r="J22" s="555"/>
      <c r="K22" s="2599"/>
      <c r="L22" s="2142"/>
      <c r="M22" s="2134"/>
      <c r="N22" s="2134"/>
      <c r="O22" s="2141"/>
      <c r="P22" s="3400"/>
      <c r="Q22" s="2579"/>
      <c r="R22" s="1572"/>
      <c r="S22" s="1573"/>
      <c r="T22" s="1572"/>
      <c r="U22" s="1573"/>
      <c r="V22" s="1572"/>
      <c r="W22" s="1573"/>
      <c r="X22" s="2581"/>
      <c r="Y22" s="3400"/>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00"/>
      <c r="Q23" s="1571" t="str">
        <f>B23</f>
        <v>自然及人文环境</v>
      </c>
      <c r="R23" s="1572" t="s">
        <v>11</v>
      </c>
      <c r="S23" s="1573">
        <f>F23</f>
        <v>100</v>
      </c>
      <c r="T23" s="1572" t="s">
        <v>11</v>
      </c>
      <c r="U23" s="1573">
        <f>H23</f>
        <v>90</v>
      </c>
      <c r="V23" s="1572" t="s">
        <v>11</v>
      </c>
      <c r="W23" s="1573">
        <f>J23</f>
        <v>90</v>
      </c>
      <c r="X23" s="1566"/>
      <c r="Y23" s="3400"/>
      <c r="Z23" s="1574" t="str">
        <f>Q23</f>
        <v>自然及人文环境</v>
      </c>
      <c r="AA23" s="1575">
        <f t="shared" si="3"/>
        <v>1</v>
      </c>
      <c r="AB23" s="1575">
        <f t="shared" si="4"/>
        <v>1.1111111111111112</v>
      </c>
      <c r="AC23" s="1575">
        <f t="shared" si="5"/>
        <v>1.1111111111111112</v>
      </c>
    </row>
    <row r="24" spans="1:29" ht="15">
      <c r="A24" s="532"/>
      <c r="B24" s="595"/>
      <c r="C24" s="576" t="s">
        <v>3004</v>
      </c>
      <c r="D24" s="555"/>
      <c r="E24" s="556" t="s">
        <v>3004</v>
      </c>
      <c r="F24" s="557"/>
      <c r="G24" s="558" t="s">
        <v>3006</v>
      </c>
      <c r="H24" s="555"/>
      <c r="I24" s="556" t="s">
        <v>3006</v>
      </c>
      <c r="J24" s="555"/>
      <c r="K24" s="870"/>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0"/>
      <c r="Q25" s="1571" t="str">
        <f t="shared" ref="Q25:Q46" si="11">B25</f>
        <v>楼层-1</v>
      </c>
      <c r="R25" s="1572" t="s">
        <v>11</v>
      </c>
      <c r="S25" s="1573">
        <f>F25</f>
        <v>100</v>
      </c>
      <c r="T25" s="1572" t="s">
        <v>11</v>
      </c>
      <c r="U25" s="1573">
        <f>H25</f>
        <v>100</v>
      </c>
      <c r="V25" s="1572" t="s">
        <v>11</v>
      </c>
      <c r="W25" s="1573">
        <f>J25</f>
        <v>100</v>
      </c>
      <c r="X25" s="1566"/>
      <c r="Y25" s="3400"/>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0"/>
      <c r="Q26" s="1571" t="str">
        <f t="shared" si="11"/>
        <v>朝向</v>
      </c>
      <c r="R26" s="1572" t="s">
        <v>11</v>
      </c>
      <c r="S26" s="1573">
        <f>F26</f>
        <v>100</v>
      </c>
      <c r="T26" s="1572" t="s">
        <v>11</v>
      </c>
      <c r="U26" s="1573">
        <f>H26</f>
        <v>100</v>
      </c>
      <c r="V26" s="1572" t="s">
        <v>11</v>
      </c>
      <c r="W26" s="1573">
        <f>J26</f>
        <v>100</v>
      </c>
      <c r="X26" s="1566"/>
      <c r="Y26" s="3400"/>
      <c r="Z26" s="1574" t="str">
        <f>Q26</f>
        <v>朝向</v>
      </c>
      <c r="AA26" s="1575">
        <f t="shared" si="3"/>
        <v>1</v>
      </c>
      <c r="AB26" s="1575">
        <f t="shared" si="4"/>
        <v>1</v>
      </c>
      <c r="AC26" s="1575">
        <f t="shared" si="5"/>
        <v>1</v>
      </c>
    </row>
    <row r="27" spans="1:29" s="1219" customFormat="1" ht="15">
      <c r="A27" s="536"/>
      <c r="B27" s="537" t="s">
        <v>723</v>
      </c>
      <c r="C27" s="3189" t="s">
        <v>3028</v>
      </c>
      <c r="D27" s="875">
        <v>100</v>
      </c>
      <c r="E27" s="3188" t="s">
        <v>3027</v>
      </c>
      <c r="F27" s="876">
        <f>SUMIF(90:90,E27,91:91)-SUMIF(90:90,C27,91:91)+100</f>
        <v>101</v>
      </c>
      <c r="G27" s="3190" t="s">
        <v>3027</v>
      </c>
      <c r="H27" s="875">
        <f>SUMIF(90:90,G27,91:91)-SUMIF(90:90,C27,91:91)+100</f>
        <v>101</v>
      </c>
      <c r="I27" s="3188" t="s">
        <v>3027</v>
      </c>
      <c r="J27" s="875">
        <f>SUMIF(90:90,I27,91:91)-SUMIF(90:90,C27,91:91)+100</f>
        <v>101</v>
      </c>
      <c r="K27" s="865"/>
      <c r="L27" s="2135"/>
      <c r="M27" s="2136"/>
      <c r="N27" s="2136"/>
      <c r="O27" s="2137"/>
      <c r="P27" s="3400"/>
      <c r="Q27" s="1150" t="str">
        <f t="shared" si="11"/>
        <v>道路级别</v>
      </c>
      <c r="R27" s="1567" t="s">
        <v>11</v>
      </c>
      <c r="S27" s="1568">
        <f>F27</f>
        <v>101</v>
      </c>
      <c r="T27" s="1567" t="s">
        <v>11</v>
      </c>
      <c r="U27" s="1568">
        <f>H27</f>
        <v>101</v>
      </c>
      <c r="V27" s="1567" t="s">
        <v>11</v>
      </c>
      <c r="W27" s="1568">
        <f>J27</f>
        <v>101</v>
      </c>
      <c r="X27" s="1569"/>
      <c r="Y27" s="3400"/>
      <c r="Z27" s="1149" t="str">
        <f>Q27</f>
        <v>道路级别</v>
      </c>
      <c r="AA27" s="1575">
        <f>D27/F27</f>
        <v>0.99009900990099009</v>
      </c>
      <c r="AB27" s="1575">
        <f>D27/H27</f>
        <v>0.99009900990099009</v>
      </c>
      <c r="AC27" s="1575">
        <f>D27/J27</f>
        <v>0.99009900990099009</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0"/>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0"/>
      <c r="Q29" s="1571">
        <f t="shared" si="11"/>
        <v>111</v>
      </c>
      <c r="R29" s="1572" t="s">
        <v>11</v>
      </c>
      <c r="S29" s="1573">
        <f t="shared" si="12"/>
        <v>100</v>
      </c>
      <c r="T29" s="1572" t="s">
        <v>11</v>
      </c>
      <c r="U29" s="1573">
        <f t="shared" si="13"/>
        <v>100</v>
      </c>
      <c r="V29" s="1572" t="s">
        <v>11</v>
      </c>
      <c r="W29" s="1573">
        <f t="shared" si="14"/>
        <v>100</v>
      </c>
      <c r="X29" s="1566"/>
      <c r="Y29" s="340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0"/>
      <c r="Q30" s="1571">
        <f t="shared" si="11"/>
        <v>111</v>
      </c>
      <c r="R30" s="1572" t="s">
        <v>11</v>
      </c>
      <c r="S30" s="1573">
        <f t="shared" si="12"/>
        <v>100</v>
      </c>
      <c r="T30" s="1572" t="s">
        <v>11</v>
      </c>
      <c r="U30" s="1573">
        <f t="shared" si="13"/>
        <v>100</v>
      </c>
      <c r="V30" s="1572" t="s">
        <v>11</v>
      </c>
      <c r="W30" s="1573">
        <f t="shared" si="14"/>
        <v>100</v>
      </c>
      <c r="X30" s="1566"/>
      <c r="Y30" s="3400"/>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0"/>
      <c r="Q31" s="1571">
        <f t="shared" si="11"/>
        <v>111</v>
      </c>
      <c r="R31" s="1572" t="s">
        <v>11</v>
      </c>
      <c r="S31" s="1573">
        <f t="shared" si="12"/>
        <v>100</v>
      </c>
      <c r="T31" s="1572" t="s">
        <v>11</v>
      </c>
      <c r="U31" s="1573">
        <f t="shared" si="13"/>
        <v>100</v>
      </c>
      <c r="V31" s="1572" t="s">
        <v>11</v>
      </c>
      <c r="W31" s="1573">
        <f t="shared" si="14"/>
        <v>100</v>
      </c>
      <c r="X31" s="1566"/>
      <c r="Y31" s="3400"/>
      <c r="Z31" s="1574">
        <f t="shared" si="15"/>
        <v>111</v>
      </c>
      <c r="AA31" s="1575">
        <f t="shared" si="3"/>
        <v>1</v>
      </c>
      <c r="AB31" s="1575">
        <f t="shared" si="4"/>
        <v>1</v>
      </c>
      <c r="AC31" s="1575">
        <f t="shared" si="5"/>
        <v>1</v>
      </c>
    </row>
    <row r="32" spans="1:29" ht="15">
      <c r="A32" s="2907" t="s">
        <v>2757</v>
      </c>
      <c r="B32" s="172" t="s">
        <v>724</v>
      </c>
      <c r="C32" s="878" t="s">
        <v>3169</v>
      </c>
      <c r="D32" s="597">
        <v>100</v>
      </c>
      <c r="E32" s="879" t="s">
        <v>3167</v>
      </c>
      <c r="F32" s="575">
        <f>SUMIF(100:100,E32,101:101)-SUMIF(100:100,C32,101:101)+100</f>
        <v>110</v>
      </c>
      <c r="G32" s="878" t="s">
        <v>3001</v>
      </c>
      <c r="H32" s="597">
        <f>SUMIF(100:100,G32,101:101)-SUMIF(100:100,C32,101:101)+100</f>
        <v>105</v>
      </c>
      <c r="I32" s="879" t="s">
        <v>3001</v>
      </c>
      <c r="J32" s="540">
        <f>SUMIF(100:100,I32,101:101)-SUMIF(100:100,C32,101:101)+100</f>
        <v>105</v>
      </c>
      <c r="K32" s="864">
        <v>5</v>
      </c>
      <c r="L32" s="2142"/>
      <c r="M32" s="2134"/>
      <c r="N32" s="2134"/>
      <c r="O32" s="2141"/>
      <c r="P32" s="3401" t="s">
        <v>549</v>
      </c>
      <c r="Q32" s="1571" t="str">
        <f t="shared" si="11"/>
        <v>建筑类型</v>
      </c>
      <c r="R32" s="1572" t="s">
        <v>11</v>
      </c>
      <c r="S32" s="1573">
        <f t="shared" si="12"/>
        <v>110</v>
      </c>
      <c r="T32" s="1572" t="s">
        <v>11</v>
      </c>
      <c r="U32" s="1573">
        <f t="shared" si="13"/>
        <v>105</v>
      </c>
      <c r="V32" s="1572" t="s">
        <v>11</v>
      </c>
      <c r="W32" s="1573">
        <f t="shared" si="14"/>
        <v>105</v>
      </c>
      <c r="X32" s="1566"/>
      <c r="Y32" s="3402"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402"/>
      <c r="Q33" s="1604" t="str">
        <f t="shared" si="11"/>
        <v>项目建筑规模</v>
      </c>
      <c r="R33" s="1576" t="s">
        <v>11</v>
      </c>
      <c r="S33" s="1577">
        <f t="shared" si="12"/>
        <v>96</v>
      </c>
      <c r="T33" s="1576" t="s">
        <v>11</v>
      </c>
      <c r="U33" s="1577">
        <f t="shared" si="13"/>
        <v>96</v>
      </c>
      <c r="V33" s="1576" t="s">
        <v>11</v>
      </c>
      <c r="W33" s="1577">
        <f t="shared" si="14"/>
        <v>98</v>
      </c>
      <c r="X33" s="1578"/>
      <c r="Y33" s="3402"/>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3016</v>
      </c>
      <c r="D34" s="540">
        <v>100</v>
      </c>
      <c r="E34" s="882" t="s">
        <v>3016</v>
      </c>
      <c r="F34" s="575">
        <f>SUMIF(105:105,E34,106:106)-SUMIF(105:105,C34,106:106)+100</f>
        <v>100</v>
      </c>
      <c r="G34" s="881" t="s">
        <v>3016</v>
      </c>
      <c r="H34" s="540">
        <f>SUMIF(105:105,G34,106:106)-SUMIF(105:105,C34,106:106)+100</f>
        <v>100</v>
      </c>
      <c r="I34" s="882" t="s">
        <v>3016</v>
      </c>
      <c r="J34" s="540">
        <f>SUMIF(105:105,I34,106:106)-SUMIF(105:105,C34,106:106)+100</f>
        <v>100</v>
      </c>
      <c r="K34" s="864">
        <v>1</v>
      </c>
      <c r="L34" s="2142"/>
      <c r="M34" s="2134"/>
      <c r="N34" s="2134"/>
      <c r="O34" s="2141"/>
      <c r="P34" s="3402"/>
      <c r="Q34" s="1571" t="str">
        <f t="shared" si="11"/>
        <v>建筑结构</v>
      </c>
      <c r="R34" s="1572" t="s">
        <v>11</v>
      </c>
      <c r="S34" s="1573">
        <f t="shared" si="12"/>
        <v>100</v>
      </c>
      <c r="T34" s="1572" t="s">
        <v>11</v>
      </c>
      <c r="U34" s="1573">
        <f t="shared" si="13"/>
        <v>100</v>
      </c>
      <c r="V34" s="1572" t="s">
        <v>11</v>
      </c>
      <c r="W34" s="1573">
        <f t="shared" si="14"/>
        <v>100</v>
      </c>
      <c r="X34" s="1566"/>
      <c r="Y34" s="3402"/>
      <c r="Z34" s="1574" t="str">
        <f t="shared" si="15"/>
        <v>建筑结构</v>
      </c>
      <c r="AA34" s="1575">
        <f t="shared" si="3"/>
        <v>1</v>
      </c>
      <c r="AB34" s="1575">
        <f t="shared" si="4"/>
        <v>1</v>
      </c>
      <c r="AC34" s="1575">
        <f t="shared" si="5"/>
        <v>1</v>
      </c>
    </row>
    <row r="35" spans="1:29" ht="15">
      <c r="A35" s="594"/>
      <c r="B35" s="527" t="s">
        <v>727</v>
      </c>
      <c r="C35" s="599" t="s">
        <v>3004</v>
      </c>
      <c r="D35" s="540">
        <v>100</v>
      </c>
      <c r="E35" s="874" t="s">
        <v>3004</v>
      </c>
      <c r="F35" s="575">
        <f>SUMIF(107:107,E35,108:108)-SUMIF(107:107,C35,108:108)+100</f>
        <v>100</v>
      </c>
      <c r="G35" s="599" t="s">
        <v>3006</v>
      </c>
      <c r="H35" s="540">
        <f>SUMIF(107:107,G35,108:108)-SUMIF(107:107,C35,108:108)+100</f>
        <v>98</v>
      </c>
      <c r="I35" s="874" t="s">
        <v>3006</v>
      </c>
      <c r="J35" s="540">
        <f>SUMIF(107:107,I35,108:108)-SUMIF(107:107,C35,108:108)+100</f>
        <v>98</v>
      </c>
      <c r="K35" s="864">
        <v>2</v>
      </c>
      <c r="L35" s="2142"/>
      <c r="M35" s="2134"/>
      <c r="N35" s="2134"/>
      <c r="O35" s="2141"/>
      <c r="P35" s="3402"/>
      <c r="Q35" s="1571" t="str">
        <f t="shared" si="11"/>
        <v>建筑品质</v>
      </c>
      <c r="R35" s="1572" t="s">
        <v>11</v>
      </c>
      <c r="S35" s="1573">
        <f t="shared" si="12"/>
        <v>100</v>
      </c>
      <c r="T35" s="1572" t="s">
        <v>11</v>
      </c>
      <c r="U35" s="1573">
        <f t="shared" si="13"/>
        <v>98</v>
      </c>
      <c r="V35" s="1572" t="s">
        <v>11</v>
      </c>
      <c r="W35" s="1573">
        <f t="shared" si="14"/>
        <v>98</v>
      </c>
      <c r="X35" s="1566"/>
      <c r="Y35" s="3402"/>
      <c r="Z35" s="1574" t="str">
        <f t="shared" si="15"/>
        <v>建筑品质</v>
      </c>
      <c r="AA35" s="1575">
        <f t="shared" si="3"/>
        <v>1</v>
      </c>
      <c r="AB35" s="1575">
        <f t="shared" si="4"/>
        <v>1.0204081632653061</v>
      </c>
      <c r="AC35" s="1575">
        <f t="shared" si="5"/>
        <v>1.0204081632653061</v>
      </c>
    </row>
    <row r="36" spans="1:29" ht="15">
      <c r="A36" s="594"/>
      <c r="B36" s="527" t="s">
        <v>728</v>
      </c>
      <c r="C36" s="599" t="s">
        <v>3007</v>
      </c>
      <c r="D36" s="540">
        <v>100</v>
      </c>
      <c r="E36" s="874" t="s">
        <v>3007</v>
      </c>
      <c r="F36" s="575">
        <f>SUMIF(109:109,E36,110:110)-SUMIF(109:109,C36,110:110)+100</f>
        <v>100</v>
      </c>
      <c r="G36" s="599" t="s">
        <v>3007</v>
      </c>
      <c r="H36" s="540">
        <f>SUMIF(109:109,G36,110:110)-SUMIF(109:109,C36,110:110)+100</f>
        <v>100</v>
      </c>
      <c r="I36" s="874" t="s">
        <v>3007</v>
      </c>
      <c r="J36" s="540">
        <f>SUMIF(109:109,I36,110:110)-SUMIF(109:109,C36,110:110)+100</f>
        <v>100</v>
      </c>
      <c r="K36" s="864">
        <v>2</v>
      </c>
      <c r="L36" s="2142"/>
      <c r="M36" s="2134"/>
      <c r="N36" s="2134"/>
      <c r="O36" s="2141"/>
      <c r="P36" s="3402"/>
      <c r="Q36" s="1571" t="str">
        <f t="shared" si="11"/>
        <v>公共部分装修</v>
      </c>
      <c r="R36" s="1572" t="s">
        <v>11</v>
      </c>
      <c r="S36" s="1573">
        <f t="shared" si="12"/>
        <v>100</v>
      </c>
      <c r="T36" s="1572" t="s">
        <v>11</v>
      </c>
      <c r="U36" s="1573">
        <f t="shared" si="13"/>
        <v>100</v>
      </c>
      <c r="V36" s="1572" t="s">
        <v>11</v>
      </c>
      <c r="W36" s="1573">
        <f t="shared" si="14"/>
        <v>100</v>
      </c>
      <c r="X36" s="1566"/>
      <c r="Y36" s="3402"/>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02"/>
      <c r="Q37" s="1150" t="str">
        <f t="shared" si="11"/>
        <v>成新度</v>
      </c>
      <c r="R37" s="1567" t="s">
        <v>11</v>
      </c>
      <c r="S37" s="1568">
        <f t="shared" si="12"/>
        <v>100</v>
      </c>
      <c r="T37" s="1567" t="s">
        <v>11</v>
      </c>
      <c r="U37" s="1568">
        <f t="shared" si="13"/>
        <v>100</v>
      </c>
      <c r="V37" s="1567" t="s">
        <v>11</v>
      </c>
      <c r="W37" s="1568">
        <f t="shared" si="14"/>
        <v>100</v>
      </c>
      <c r="X37" s="1569"/>
      <c r="Y37" s="3402"/>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2" t="s">
        <v>549</v>
      </c>
      <c r="Q38" s="1571" t="str">
        <f t="shared" si="11"/>
        <v>物业管理</v>
      </c>
      <c r="R38" s="1572" t="s">
        <v>11</v>
      </c>
      <c r="S38" s="1573">
        <f t="shared" si="12"/>
        <v>100</v>
      </c>
      <c r="T38" s="1572" t="s">
        <v>11</v>
      </c>
      <c r="U38" s="1573">
        <f t="shared" si="13"/>
        <v>100</v>
      </c>
      <c r="V38" s="1572" t="s">
        <v>11</v>
      </c>
      <c r="W38" s="1573">
        <f t="shared" si="14"/>
        <v>100</v>
      </c>
      <c r="X38" s="1566"/>
      <c r="Y38" s="3402"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2"/>
      <c r="Q39" s="1571" t="str">
        <f t="shared" si="11"/>
        <v>市政基础设施</v>
      </c>
      <c r="R39" s="1572" t="s">
        <v>11</v>
      </c>
      <c r="S39" s="1573">
        <f t="shared" si="12"/>
        <v>100</v>
      </c>
      <c r="T39" s="1572" t="s">
        <v>11</v>
      </c>
      <c r="U39" s="1573">
        <f t="shared" si="13"/>
        <v>100</v>
      </c>
      <c r="V39" s="1572" t="s">
        <v>11</v>
      </c>
      <c r="W39" s="1573">
        <f t="shared" si="14"/>
        <v>100</v>
      </c>
      <c r="X39" s="1566"/>
      <c r="Y39" s="3402"/>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2"/>
      <c r="Q40" s="1571" t="str">
        <f t="shared" si="11"/>
        <v>房型</v>
      </c>
      <c r="R40" s="1572" t="s">
        <v>11</v>
      </c>
      <c r="S40" s="1573">
        <f t="shared" si="12"/>
        <v>100</v>
      </c>
      <c r="T40" s="1572" t="s">
        <v>11</v>
      </c>
      <c r="U40" s="1573">
        <f t="shared" si="13"/>
        <v>100</v>
      </c>
      <c r="V40" s="1572" t="s">
        <v>11</v>
      </c>
      <c r="W40" s="1573">
        <f t="shared" si="14"/>
        <v>100</v>
      </c>
      <c r="X40" s="1566"/>
      <c r="Y40" s="3402"/>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2"/>
      <c r="Q41" s="1604" t="str">
        <f t="shared" si="11"/>
        <v>单套/主力户型建筑面积</v>
      </c>
      <c r="R41" s="1576" t="s">
        <v>11</v>
      </c>
      <c r="S41" s="1577">
        <f t="shared" si="12"/>
        <v>100</v>
      </c>
      <c r="T41" s="1576" t="s">
        <v>11</v>
      </c>
      <c r="U41" s="1577">
        <f t="shared" si="13"/>
        <v>100</v>
      </c>
      <c r="V41" s="1576" t="s">
        <v>11</v>
      </c>
      <c r="W41" s="1577">
        <f t="shared" si="14"/>
        <v>100</v>
      </c>
      <c r="X41" s="1578"/>
      <c r="Y41" s="3402"/>
      <c r="Z41" s="1579" t="str">
        <f t="shared" si="15"/>
        <v>单套/主力户型建筑面积</v>
      </c>
      <c r="AA41" s="1575">
        <f t="shared" si="3"/>
        <v>1</v>
      </c>
      <c r="AB41" s="1575">
        <f t="shared" si="4"/>
        <v>1</v>
      </c>
      <c r="AC41" s="1575">
        <f t="shared" si="5"/>
        <v>1</v>
      </c>
    </row>
    <row r="42" spans="1:29" ht="15">
      <c r="A42" s="594"/>
      <c r="B42" s="527" t="s">
        <v>733</v>
      </c>
      <c r="C42" s="599" t="s">
        <v>3011</v>
      </c>
      <c r="D42" s="540">
        <v>100</v>
      </c>
      <c r="E42" s="874" t="s">
        <v>3011</v>
      </c>
      <c r="F42" s="575">
        <f>SUMIF(122:122,E42,123:123)-SUMIF(122:122,C42,123:123)+100</f>
        <v>100</v>
      </c>
      <c r="G42" s="599" t="s">
        <v>3011</v>
      </c>
      <c r="H42" s="540">
        <f>SUMIF(122:122,G42,123:123)-SUMIF(122:122,C42,123:123)+100</f>
        <v>100</v>
      </c>
      <c r="I42" s="874" t="s">
        <v>3011</v>
      </c>
      <c r="J42" s="540">
        <f>SUMIF(122:122,I42,123:123)-SUMIF(122:122,C42,123:123)+100</f>
        <v>100</v>
      </c>
      <c r="K42" s="864">
        <v>1</v>
      </c>
      <c r="L42" s="2142"/>
      <c r="M42" s="2134"/>
      <c r="N42" s="2134"/>
      <c r="O42" s="2141"/>
      <c r="P42" s="3402"/>
      <c r="Q42" s="1571" t="str">
        <f t="shared" si="11"/>
        <v>内部装修</v>
      </c>
      <c r="R42" s="1572" t="s">
        <v>11</v>
      </c>
      <c r="S42" s="1573">
        <f t="shared" si="12"/>
        <v>100</v>
      </c>
      <c r="T42" s="1572" t="s">
        <v>11</v>
      </c>
      <c r="U42" s="1573">
        <f t="shared" si="13"/>
        <v>100</v>
      </c>
      <c r="V42" s="1572" t="s">
        <v>11</v>
      </c>
      <c r="W42" s="1573">
        <f t="shared" si="14"/>
        <v>100</v>
      </c>
      <c r="X42" s="1566"/>
      <c r="Y42" s="3402"/>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02"/>
      <c r="Q43" s="1571" t="str">
        <f t="shared" si="11"/>
        <v>内部装修维护情况</v>
      </c>
      <c r="R43" s="1572" t="s">
        <v>11</v>
      </c>
      <c r="S43" s="1573">
        <f t="shared" si="12"/>
        <v>100</v>
      </c>
      <c r="T43" s="1572" t="s">
        <v>11</v>
      </c>
      <c r="U43" s="1573">
        <f t="shared" si="13"/>
        <v>100</v>
      </c>
      <c r="V43" s="1572" t="s">
        <v>11</v>
      </c>
      <c r="W43" s="1573">
        <f t="shared" si="14"/>
        <v>100</v>
      </c>
      <c r="X43" s="1566"/>
      <c r="Y43" s="340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2"/>
      <c r="Q44" s="1150">
        <f t="shared" si="11"/>
        <v>111</v>
      </c>
      <c r="R44" s="1567" t="s">
        <v>11</v>
      </c>
      <c r="S44" s="1568">
        <f t="shared" si="12"/>
        <v>100</v>
      </c>
      <c r="T44" s="1567" t="s">
        <v>11</v>
      </c>
      <c r="U44" s="1568">
        <f t="shared" si="13"/>
        <v>100</v>
      </c>
      <c r="V44" s="1567" t="s">
        <v>11</v>
      </c>
      <c r="W44" s="1568">
        <f t="shared" si="14"/>
        <v>100</v>
      </c>
      <c r="X44" s="1569"/>
      <c r="Y44" s="340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2"/>
      <c r="Q45" s="1571">
        <f t="shared" si="11"/>
        <v>111</v>
      </c>
      <c r="R45" s="1572" t="s">
        <v>11</v>
      </c>
      <c r="S45" s="1573">
        <f t="shared" si="12"/>
        <v>100</v>
      </c>
      <c r="T45" s="1572" t="s">
        <v>11</v>
      </c>
      <c r="U45" s="1573">
        <f t="shared" si="13"/>
        <v>100</v>
      </c>
      <c r="V45" s="1572" t="s">
        <v>11</v>
      </c>
      <c r="W45" s="1573">
        <f t="shared" si="14"/>
        <v>100</v>
      </c>
      <c r="X45" s="1566"/>
      <c r="Y45" s="3402"/>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0"/>
      <c r="Q46" s="1571">
        <f t="shared" si="11"/>
        <v>111</v>
      </c>
      <c r="R46" s="1572" t="s">
        <v>10</v>
      </c>
      <c r="S46" s="1573">
        <f t="shared" si="12"/>
        <v>100</v>
      </c>
      <c r="T46" s="1572" t="s">
        <v>10</v>
      </c>
      <c r="U46" s="1573">
        <f t="shared" si="13"/>
        <v>100</v>
      </c>
      <c r="V46" s="1572" t="s">
        <v>10</v>
      </c>
      <c r="W46" s="1573">
        <f t="shared" si="14"/>
        <v>100</v>
      </c>
      <c r="X46" s="1566"/>
      <c r="Y46" s="3480"/>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365" t="str">
        <f>A47</f>
        <v>成交单价（元/平方米）</v>
      </c>
      <c r="Q47" s="3365"/>
      <c r="R47" s="3479">
        <f>E47</f>
        <v>15500</v>
      </c>
      <c r="S47" s="3479"/>
      <c r="T47" s="3479">
        <f>G47</f>
        <v>14000</v>
      </c>
      <c r="U47" s="3479"/>
      <c r="V47" s="3479">
        <f>I47</f>
        <v>12500</v>
      </c>
      <c r="W47" s="3479"/>
      <c r="X47" s="1558"/>
      <c r="Y47" s="1580"/>
      <c r="Z47" s="1558"/>
      <c r="AA47" s="1558"/>
      <c r="AB47" s="1558"/>
      <c r="AC47" s="1558"/>
    </row>
    <row r="48" spans="1:29" ht="15.75" thickBot="1">
      <c r="A48" s="615" t="s">
        <v>2762</v>
      </c>
      <c r="B48" s="888"/>
      <c r="C48" s="2633">
        <f>R49</f>
        <v>13830.1</v>
      </c>
      <c r="D48" s="2634"/>
      <c r="E48" s="2635">
        <f>R48</f>
        <v>13437.5</v>
      </c>
      <c r="F48" s="2635"/>
      <c r="G48" s="2633">
        <f>T48</f>
        <v>14416.2</v>
      </c>
      <c r="H48" s="2634"/>
      <c r="I48" s="2635">
        <f>V48</f>
        <v>13636.6</v>
      </c>
      <c r="J48" s="2634"/>
      <c r="K48" s="1606"/>
      <c r="L48" s="2144"/>
      <c r="M48" s="2145"/>
      <c r="N48" s="2145"/>
      <c r="O48" s="2145"/>
      <c r="P48" s="3365" t="str">
        <f>A48</f>
        <v>比较价格（元/平方米）</v>
      </c>
      <c r="Q48" s="3365"/>
      <c r="R48" s="3479">
        <f>IF(F1="售价",ROUND(PRODUCT(R47,AA7:AA46),0),ROUND(PRODUCT(R47,AA7:AA46),1))</f>
        <v>13437.5</v>
      </c>
      <c r="S48" s="3479"/>
      <c r="T48" s="3479">
        <f>IF(F1="售价",ROUND(PRODUCT(T47,AB7:AB46),0),ROUND(PRODUCT(T47,AB7:AB46),1))</f>
        <v>14416.2</v>
      </c>
      <c r="U48" s="3479"/>
      <c r="V48" s="3479">
        <f>IF(F1="售价",ROUND(PRODUCT(V47,AC7:AC46),0),ROUND(PRODUCT(V47,AC7:AC46),1))</f>
        <v>13636.6</v>
      </c>
      <c r="W48" s="3479"/>
      <c r="X48" s="1558"/>
      <c r="Y48" s="1558"/>
      <c r="Z48" s="1558"/>
      <c r="AA48" s="1558"/>
      <c r="AB48" s="1558"/>
      <c r="AC48" s="1558"/>
    </row>
    <row r="49" spans="1:29" ht="15.75" thickBot="1">
      <c r="A49" s="621" t="s">
        <v>2939</v>
      </c>
      <c r="B49" s="622"/>
      <c r="C49" s="2636">
        <f>R49</f>
        <v>13830.1</v>
      </c>
      <c r="D49" s="2636"/>
      <c r="E49" s="2636"/>
      <c r="F49" s="2636"/>
      <c r="G49" s="2636"/>
      <c r="H49" s="2636"/>
      <c r="I49" s="2636"/>
      <c r="J49" s="2636"/>
      <c r="K49" s="1607"/>
      <c r="L49" s="2144"/>
      <c r="M49" s="2145"/>
      <c r="N49" s="2145"/>
      <c r="O49" s="2145"/>
      <c r="P49" s="3362" t="str">
        <f>A49</f>
        <v>估价对象XX用房的比较价格（楼面单价，元/平方米）</v>
      </c>
      <c r="Q49" s="3363"/>
      <c r="R49" s="3478">
        <f>IF(F1="售价",ROUND(AVERAGE(R48:V48),0),ROUND(AVERAGE(R48:V48),1))</f>
        <v>13830.1</v>
      </c>
      <c r="S49" s="3478"/>
      <c r="T49" s="3478"/>
      <c r="U49" s="3478"/>
      <c r="V49" s="3478"/>
      <c r="W49" s="347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0.15348837209302335</v>
      </c>
      <c r="F52" s="627" t="str">
        <f>IF(OR(E52&gt;=0.3,E52&lt;=-0.3),"超过30%","")</f>
        <v/>
      </c>
      <c r="G52" s="626">
        <f>IF(G47&lt;G48,G48/G47-1,G47/G48-1)</f>
        <v>2.9728571428571549E-2</v>
      </c>
      <c r="H52" s="627" t="str">
        <f>IF(OR(G52&gt;=0.3,G52&lt;=-0.3),"超过30%","")</f>
        <v/>
      </c>
      <c r="I52" s="626">
        <f>IF(I47&lt;I48,I48/I47-1,I47/I48-1)</f>
        <v>9.092800000000012E-2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7.2833488372093136E-2</v>
      </c>
      <c r="F53" s="627" t="str">
        <f>IF(OR(E53&gt;=0.2,E53&lt;=-0.2),"超过20%","")</f>
        <v/>
      </c>
      <c r="G53" s="626">
        <f>IF(G48&lt;I48,I48/G48-1,G48/I48-1)</f>
        <v>5.7169675725620817E-2</v>
      </c>
      <c r="H53" s="627" t="str">
        <f>IF(OR(G53&gt;=0.2,G53&lt;=-0.2),"超过20%","")</f>
        <v/>
      </c>
      <c r="I53" s="626">
        <f>IF(I48&lt;E48,E48/I48-1,I48/E48-1)</f>
        <v>1.4816744186046504E-2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3025</v>
      </c>
      <c r="D90" s="3180" t="s">
        <v>3026</v>
      </c>
      <c r="E90" s="3180" t="s">
        <v>3027</v>
      </c>
      <c r="F90" s="3180" t="s">
        <v>3028</v>
      </c>
      <c r="G90" s="3180" t="s">
        <v>3029</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3152</v>
      </c>
      <c r="D100" s="3179" t="s">
        <v>3168</v>
      </c>
      <c r="E100" s="3179" t="s">
        <v>3164</v>
      </c>
      <c r="F100" s="3179" t="s">
        <v>3165</v>
      </c>
      <c r="G100" s="3179" t="s">
        <v>3166</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3017</v>
      </c>
      <c r="D105" s="3180" t="s">
        <v>3018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3019</v>
      </c>
      <c r="D107" s="3181" t="s">
        <v>3020</v>
      </c>
      <c r="E107" s="3181" t="s">
        <v>3021</v>
      </c>
      <c r="F107" s="3181" t="s">
        <v>3022</v>
      </c>
      <c r="G107" s="3181" t="s">
        <v>3023</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3015</v>
      </c>
      <c r="D109" s="3180" t="s">
        <v>3009</v>
      </c>
      <c r="E109" s="3180" t="s">
        <v>3010</v>
      </c>
      <c r="F109" s="3181" t="s">
        <v>3012</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3008</v>
      </c>
      <c r="D122" s="3180" t="s">
        <v>3009</v>
      </c>
      <c r="E122" s="3180" t="s">
        <v>3010</v>
      </c>
      <c r="F122" s="3181" t="s">
        <v>3012</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71" t="s">
        <v>521</v>
      </c>
      <c r="D4" s="3372"/>
      <c r="E4" s="3406" t="s">
        <v>522</v>
      </c>
      <c r="F4" s="3407"/>
      <c r="G4" s="3371" t="s">
        <v>523</v>
      </c>
      <c r="H4" s="3372"/>
      <c r="I4" s="3371" t="s">
        <v>524</v>
      </c>
      <c r="J4" s="3372"/>
      <c r="K4" s="514" t="s">
        <v>525</v>
      </c>
      <c r="L4" s="2133"/>
      <c r="M4" s="2134"/>
      <c r="N4" s="2134"/>
      <c r="O4" s="2134"/>
      <c r="P4" s="3373" t="s">
        <v>526</v>
      </c>
      <c r="Q4" s="3374"/>
      <c r="R4" s="3379" t="s">
        <v>522</v>
      </c>
      <c r="S4" s="3380"/>
      <c r="T4" s="3379" t="s">
        <v>523</v>
      </c>
      <c r="U4" s="3380"/>
      <c r="V4" s="3366" t="s">
        <v>524</v>
      </c>
      <c r="W4" s="3366"/>
      <c r="X4" s="1566"/>
      <c r="Y4" s="3379" t="s">
        <v>526</v>
      </c>
      <c r="Z4" s="3380"/>
      <c r="AA4" s="3368" t="s">
        <v>522</v>
      </c>
      <c r="AB4" s="3366" t="s">
        <v>523</v>
      </c>
      <c r="AC4" s="3368" t="s">
        <v>524</v>
      </c>
    </row>
    <row r="5" spans="1:29" ht="15">
      <c r="A5" s="515"/>
      <c r="B5" s="516"/>
      <c r="C5" s="3403" t="s">
        <v>2933</v>
      </c>
      <c r="D5" s="3388"/>
      <c r="E5" s="3408" t="s">
        <v>2934</v>
      </c>
      <c r="F5" s="3409"/>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6"/>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66"/>
      <c r="AC6" s="3370"/>
    </row>
    <row r="7" spans="1:29" s="1219" customFormat="1" ht="15.7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6" t="s">
        <v>529</v>
      </c>
      <c r="Q7" s="3398"/>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9" t="s">
        <v>539</v>
      </c>
      <c r="Q15" s="1571" t="str">
        <f t="shared" si="6"/>
        <v>商业繁华度</v>
      </c>
      <c r="R15" s="1572" t="s">
        <v>8</v>
      </c>
      <c r="S15" s="1573">
        <f t="shared" si="0"/>
        <v>100</v>
      </c>
      <c r="T15" s="1572" t="s">
        <v>8</v>
      </c>
      <c r="U15" s="1573">
        <f t="shared" si="1"/>
        <v>100</v>
      </c>
      <c r="V15" s="1572" t="s">
        <v>8</v>
      </c>
      <c r="W15" s="1573">
        <f t="shared" si="2"/>
        <v>100</v>
      </c>
      <c r="X15" s="1566"/>
      <c r="Y15" s="3399"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00"/>
      <c r="Q22" s="2579"/>
      <c r="R22" s="1572"/>
      <c r="S22" s="1573"/>
      <c r="T22" s="1572"/>
      <c r="U22" s="1573"/>
      <c r="V22" s="1572"/>
      <c r="W22" s="1573"/>
      <c r="X22" s="2581"/>
      <c r="Y22" s="3400"/>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0"/>
      <c r="Q23" s="1571" t="str">
        <f>B23</f>
        <v>自然及人文环境</v>
      </c>
      <c r="R23" s="1572" t="s">
        <v>8</v>
      </c>
      <c r="S23" s="1573">
        <f>F23</f>
        <v>100</v>
      </c>
      <c r="T23" s="1572" t="s">
        <v>8</v>
      </c>
      <c r="U23" s="1573">
        <f>H23</f>
        <v>100</v>
      </c>
      <c r="V23" s="1572" t="s">
        <v>8</v>
      </c>
      <c r="W23" s="1573">
        <f>J23</f>
        <v>100</v>
      </c>
      <c r="X23" s="1566"/>
      <c r="Y23" s="340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0"/>
      <c r="Q25" s="1571" t="str">
        <f t="shared" ref="Q25:Q46" si="11">B25</f>
        <v>临街状况</v>
      </c>
      <c r="R25" s="1572" t="s">
        <v>8</v>
      </c>
      <c r="S25" s="1573">
        <f>F25</f>
        <v>100</v>
      </c>
      <c r="T25" s="1572" t="s">
        <v>8</v>
      </c>
      <c r="U25" s="1573">
        <f>H25</f>
        <v>100</v>
      </c>
      <c r="V25" s="1572" t="s">
        <v>8</v>
      </c>
      <c r="W25" s="1573">
        <f>J25</f>
        <v>100</v>
      </c>
      <c r="X25" s="1566"/>
      <c r="Y25" s="3400"/>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0"/>
      <c r="Q26" s="1571" t="str">
        <f t="shared" si="11"/>
        <v>平面位置/可视性</v>
      </c>
      <c r="R26" s="1572" t="s">
        <v>8</v>
      </c>
      <c r="S26" s="1573">
        <f>F26</f>
        <v>100</v>
      </c>
      <c r="T26" s="1572" t="s">
        <v>8</v>
      </c>
      <c r="U26" s="1573">
        <f>H26</f>
        <v>100</v>
      </c>
      <c r="V26" s="1572" t="s">
        <v>8</v>
      </c>
      <c r="W26" s="1573">
        <f>J26</f>
        <v>100</v>
      </c>
      <c r="X26" s="1566"/>
      <c r="Y26" s="3400"/>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0"/>
      <c r="Q27" s="1150" t="str">
        <f t="shared" si="11"/>
        <v>人流量</v>
      </c>
      <c r="R27" s="1567" t="s">
        <v>8</v>
      </c>
      <c r="S27" s="1568">
        <f>F27</f>
        <v>100</v>
      </c>
      <c r="T27" s="1567" t="s">
        <v>8</v>
      </c>
      <c r="U27" s="1568">
        <f>H27</f>
        <v>100</v>
      </c>
      <c r="V27" s="1567" t="s">
        <v>8</v>
      </c>
      <c r="W27" s="1568">
        <f>J27</f>
        <v>100</v>
      </c>
      <c r="X27" s="1569"/>
      <c r="Y27" s="3400"/>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0"/>
      <c r="Q29" s="1571">
        <f t="shared" si="11"/>
        <v>111</v>
      </c>
      <c r="R29" s="1572" t="s">
        <v>8</v>
      </c>
      <c r="S29" s="1573">
        <f t="shared" si="12"/>
        <v>100</v>
      </c>
      <c r="T29" s="1572" t="s">
        <v>8</v>
      </c>
      <c r="U29" s="1573">
        <f t="shared" si="13"/>
        <v>100</v>
      </c>
      <c r="V29" s="1572" t="s">
        <v>8</v>
      </c>
      <c r="W29" s="1573">
        <f t="shared" si="14"/>
        <v>100</v>
      </c>
      <c r="X29" s="1566"/>
      <c r="Y29" s="340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1" t="s">
        <v>549</v>
      </c>
      <c r="Q32" s="1571" t="str">
        <f t="shared" si="11"/>
        <v>商业类型</v>
      </c>
      <c r="R32" s="1572" t="s">
        <v>8</v>
      </c>
      <c r="S32" s="1573">
        <f t="shared" si="12"/>
        <v>100</v>
      </c>
      <c r="T32" s="1572" t="s">
        <v>8</v>
      </c>
      <c r="U32" s="1573">
        <f t="shared" si="13"/>
        <v>100</v>
      </c>
      <c r="V32" s="1572" t="s">
        <v>8</v>
      </c>
      <c r="W32" s="1573">
        <f t="shared" si="14"/>
        <v>100</v>
      </c>
      <c r="X32" s="1566"/>
      <c r="Y32" s="3402"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2"/>
      <c r="Q33" s="1604" t="str">
        <f t="shared" si="11"/>
        <v>项目建筑规模</v>
      </c>
      <c r="R33" s="1576" t="s">
        <v>8</v>
      </c>
      <c r="S33" s="1577" t="e">
        <f t="shared" si="12"/>
        <v>#N/A</v>
      </c>
      <c r="T33" s="1576" t="s">
        <v>8</v>
      </c>
      <c r="U33" s="1577" t="e">
        <f t="shared" si="13"/>
        <v>#N/A</v>
      </c>
      <c r="V33" s="1576" t="s">
        <v>8</v>
      </c>
      <c r="W33" s="1577" t="e">
        <f t="shared" si="14"/>
        <v>#N/A</v>
      </c>
      <c r="X33" s="1578"/>
      <c r="Y33" s="3402"/>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2"/>
      <c r="Q34" s="1571" t="str">
        <f t="shared" si="11"/>
        <v>建筑结构</v>
      </c>
      <c r="R34" s="1572" t="s">
        <v>8</v>
      </c>
      <c r="S34" s="1573">
        <f t="shared" si="12"/>
        <v>100</v>
      </c>
      <c r="T34" s="1572" t="s">
        <v>8</v>
      </c>
      <c r="U34" s="1573">
        <f t="shared" si="13"/>
        <v>100</v>
      </c>
      <c r="V34" s="1572" t="s">
        <v>8</v>
      </c>
      <c r="W34" s="1573">
        <f t="shared" si="14"/>
        <v>100</v>
      </c>
      <c r="X34" s="1566"/>
      <c r="Y34" s="3402"/>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2"/>
      <c r="Q35" s="1571" t="str">
        <f t="shared" si="11"/>
        <v>公共部分装修</v>
      </c>
      <c r="R35" s="1572" t="s">
        <v>8</v>
      </c>
      <c r="S35" s="1573">
        <f t="shared" si="12"/>
        <v>100</v>
      </c>
      <c r="T35" s="1572" t="s">
        <v>8</v>
      </c>
      <c r="U35" s="1573">
        <f t="shared" si="13"/>
        <v>100</v>
      </c>
      <c r="V35" s="1572" t="s">
        <v>8</v>
      </c>
      <c r="W35" s="1573">
        <f t="shared" si="14"/>
        <v>100</v>
      </c>
      <c r="X35" s="1566"/>
      <c r="Y35" s="3402"/>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2"/>
      <c r="Q36" s="1571" t="str">
        <f t="shared" si="11"/>
        <v>成新度</v>
      </c>
      <c r="R36" s="1572" t="s">
        <v>8</v>
      </c>
      <c r="S36" s="1573" t="e">
        <f t="shared" si="12"/>
        <v>#N/A</v>
      </c>
      <c r="T36" s="1572" t="s">
        <v>8</v>
      </c>
      <c r="U36" s="1573" t="e">
        <f t="shared" si="13"/>
        <v>#N/A</v>
      </c>
      <c r="V36" s="1572" t="s">
        <v>8</v>
      </c>
      <c r="W36" s="1573" t="e">
        <f t="shared" si="14"/>
        <v>#N/A</v>
      </c>
      <c r="X36" s="1566"/>
      <c r="Y36" s="3402"/>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2"/>
      <c r="Q37" s="1150" t="str">
        <f t="shared" si="11"/>
        <v>市政基础设施</v>
      </c>
      <c r="R37" s="1567" t="s">
        <v>8</v>
      </c>
      <c r="S37" s="1568">
        <f t="shared" si="12"/>
        <v>100</v>
      </c>
      <c r="T37" s="1567" t="s">
        <v>8</v>
      </c>
      <c r="U37" s="1568">
        <f t="shared" si="13"/>
        <v>100</v>
      </c>
      <c r="V37" s="1567" t="s">
        <v>8</v>
      </c>
      <c r="W37" s="1568">
        <f t="shared" si="14"/>
        <v>100</v>
      </c>
      <c r="X37" s="1569"/>
      <c r="Y37" s="3402"/>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2" t="s">
        <v>765</v>
      </c>
      <c r="Q38" s="1571" t="str">
        <f t="shared" si="11"/>
        <v>业态</v>
      </c>
      <c r="R38" s="1572" t="s">
        <v>8</v>
      </c>
      <c r="S38" s="1573">
        <f t="shared" si="12"/>
        <v>100</v>
      </c>
      <c r="T38" s="1572" t="s">
        <v>8</v>
      </c>
      <c r="U38" s="1573">
        <f t="shared" si="13"/>
        <v>100</v>
      </c>
      <c r="V38" s="1572" t="s">
        <v>8</v>
      </c>
      <c r="W38" s="1573">
        <f t="shared" si="14"/>
        <v>100</v>
      </c>
      <c r="X38" s="1566"/>
      <c r="Y38" s="3402"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c r="Q39" s="1571" t="str">
        <f t="shared" si="11"/>
        <v>层高</v>
      </c>
      <c r="R39" s="1572" t="s">
        <v>8</v>
      </c>
      <c r="S39" s="1573">
        <f t="shared" si="12"/>
        <v>100</v>
      </c>
      <c r="T39" s="1572" t="s">
        <v>8</v>
      </c>
      <c r="U39" s="1573">
        <f t="shared" si="13"/>
        <v>100</v>
      </c>
      <c r="V39" s="1572" t="s">
        <v>8</v>
      </c>
      <c r="W39" s="1573">
        <f t="shared" si="14"/>
        <v>100</v>
      </c>
      <c r="X39" s="1566"/>
      <c r="Y39" s="3402"/>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2"/>
      <c r="Q40" s="1571" t="str">
        <f t="shared" si="11"/>
        <v>单套建筑面积</v>
      </c>
      <c r="R40" s="1572" t="s">
        <v>8</v>
      </c>
      <c r="S40" s="1573">
        <f t="shared" si="12"/>
        <v>100</v>
      </c>
      <c r="T40" s="1572" t="s">
        <v>8</v>
      </c>
      <c r="U40" s="1573">
        <f t="shared" si="13"/>
        <v>100</v>
      </c>
      <c r="V40" s="1572" t="s">
        <v>8</v>
      </c>
      <c r="W40" s="1573">
        <f t="shared" si="14"/>
        <v>100</v>
      </c>
      <c r="X40" s="1566"/>
      <c r="Y40" s="3402"/>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2"/>
      <c r="Q41" s="1604" t="str">
        <f t="shared" si="11"/>
        <v>进深比</v>
      </c>
      <c r="R41" s="1576" t="s">
        <v>8</v>
      </c>
      <c r="S41" s="1577">
        <f t="shared" si="12"/>
        <v>100</v>
      </c>
      <c r="T41" s="1576" t="s">
        <v>8</v>
      </c>
      <c r="U41" s="1577">
        <f t="shared" si="13"/>
        <v>100</v>
      </c>
      <c r="V41" s="1576" t="s">
        <v>8</v>
      </c>
      <c r="W41" s="1577">
        <f t="shared" si="14"/>
        <v>100</v>
      </c>
      <c r="X41" s="1578"/>
      <c r="Y41" s="3402"/>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2"/>
      <c r="Q42" s="1571" t="str">
        <f t="shared" si="11"/>
        <v>内部装修</v>
      </c>
      <c r="R42" s="1572" t="s">
        <v>8</v>
      </c>
      <c r="S42" s="1573">
        <f t="shared" si="12"/>
        <v>100</v>
      </c>
      <c r="T42" s="1572" t="s">
        <v>8</v>
      </c>
      <c r="U42" s="1573">
        <f t="shared" si="13"/>
        <v>100</v>
      </c>
      <c r="V42" s="1572" t="s">
        <v>8</v>
      </c>
      <c r="W42" s="1573">
        <f t="shared" si="14"/>
        <v>100</v>
      </c>
      <c r="X42" s="1566"/>
      <c r="Y42" s="3402"/>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2"/>
      <c r="Q43" s="1571" t="str">
        <f t="shared" si="11"/>
        <v>内部装修维护情况</v>
      </c>
      <c r="R43" s="1572" t="s">
        <v>8</v>
      </c>
      <c r="S43" s="1573">
        <f t="shared" si="12"/>
        <v>100</v>
      </c>
      <c r="T43" s="1572" t="s">
        <v>8</v>
      </c>
      <c r="U43" s="1573">
        <f t="shared" si="13"/>
        <v>100</v>
      </c>
      <c r="V43" s="1572" t="s">
        <v>8</v>
      </c>
      <c r="W43" s="1573">
        <f t="shared" si="14"/>
        <v>100</v>
      </c>
      <c r="X43" s="1566"/>
      <c r="Y43" s="340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2"/>
      <c r="Q44" s="1150">
        <f t="shared" si="11"/>
        <v>111</v>
      </c>
      <c r="R44" s="1567" t="s">
        <v>8</v>
      </c>
      <c r="S44" s="1568">
        <f t="shared" si="12"/>
        <v>100</v>
      </c>
      <c r="T44" s="1567" t="s">
        <v>8</v>
      </c>
      <c r="U44" s="1568">
        <f t="shared" si="13"/>
        <v>100</v>
      </c>
      <c r="V44" s="1567" t="s">
        <v>8</v>
      </c>
      <c r="W44" s="1568">
        <f t="shared" si="14"/>
        <v>100</v>
      </c>
      <c r="X44" s="1569"/>
      <c r="Y44" s="340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2"/>
      <c r="Q45" s="1571">
        <f t="shared" si="11"/>
        <v>111</v>
      </c>
      <c r="R45" s="1572" t="s">
        <v>8</v>
      </c>
      <c r="S45" s="1573">
        <f t="shared" si="12"/>
        <v>100</v>
      </c>
      <c r="T45" s="1572" t="s">
        <v>8</v>
      </c>
      <c r="U45" s="1573">
        <f t="shared" si="13"/>
        <v>100</v>
      </c>
      <c r="V45" s="1572" t="s">
        <v>8</v>
      </c>
      <c r="W45" s="1573">
        <f t="shared" si="14"/>
        <v>100</v>
      </c>
      <c r="X45" s="1566"/>
      <c r="Y45" s="3402"/>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0"/>
      <c r="Q46" s="1571">
        <f t="shared" si="11"/>
        <v>111</v>
      </c>
      <c r="R46" s="1572" t="s">
        <v>8</v>
      </c>
      <c r="S46" s="1573">
        <f t="shared" si="12"/>
        <v>100</v>
      </c>
      <c r="T46" s="1572" t="s">
        <v>8</v>
      </c>
      <c r="U46" s="1573">
        <f t="shared" si="13"/>
        <v>100</v>
      </c>
      <c r="V46" s="1572" t="s">
        <v>8</v>
      </c>
      <c r="W46" s="1573">
        <f t="shared" si="14"/>
        <v>100</v>
      </c>
      <c r="X46" s="1566"/>
      <c r="Y46" s="3480"/>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65" t="str">
        <f>A47</f>
        <v>成交单价（元/平方米）</v>
      </c>
      <c r="Q47" s="3365"/>
      <c r="R47" s="3479">
        <f>E47</f>
        <v>0</v>
      </c>
      <c r="S47" s="3479"/>
      <c r="T47" s="3479">
        <f>G47</f>
        <v>0</v>
      </c>
      <c r="U47" s="3479"/>
      <c r="V47" s="3479">
        <f>I47</f>
        <v>0</v>
      </c>
      <c r="W47" s="3479"/>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65" t="str">
        <f>A48</f>
        <v>比较价格（元/平方米）</v>
      </c>
      <c r="Q48" s="336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362" t="str">
        <f>A49</f>
        <v>估价对象XX用房的比较价格（楼面单价，元/平方米）</v>
      </c>
      <c r="Q49" s="3363"/>
      <c r="R49" s="3478" t="e">
        <f>IF(F1="售价",ROUND(AVERAGE(R48:V48),0),ROUND(AVERAGE(R48:V48),1))</f>
        <v>#DIV/0!</v>
      </c>
      <c r="S49" s="3478"/>
      <c r="T49" s="3478"/>
      <c r="U49" s="3478"/>
      <c r="V49" s="3478"/>
      <c r="W49" s="347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71" t="s">
        <v>521</v>
      </c>
      <c r="D4" s="3372"/>
      <c r="E4" s="3406" t="s">
        <v>522</v>
      </c>
      <c r="F4" s="3407"/>
      <c r="G4" s="3371" t="s">
        <v>523</v>
      </c>
      <c r="H4" s="3372"/>
      <c r="I4" s="3371" t="s">
        <v>524</v>
      </c>
      <c r="J4" s="3372"/>
      <c r="K4" s="514" t="s">
        <v>525</v>
      </c>
      <c r="L4" s="2133"/>
      <c r="M4" s="2134"/>
      <c r="N4" s="2134"/>
      <c r="O4" s="2134"/>
      <c r="P4" s="3483" t="s">
        <v>526</v>
      </c>
      <c r="Q4" s="3374"/>
      <c r="R4" s="3379" t="s">
        <v>522</v>
      </c>
      <c r="S4" s="3380"/>
      <c r="T4" s="3379" t="s">
        <v>523</v>
      </c>
      <c r="U4" s="3380"/>
      <c r="V4" s="3366" t="s">
        <v>524</v>
      </c>
      <c r="W4" s="3366"/>
      <c r="X4" s="1566"/>
      <c r="Y4" s="3379" t="s">
        <v>526</v>
      </c>
      <c r="Z4" s="3380"/>
      <c r="AA4" s="3368" t="s">
        <v>522</v>
      </c>
      <c r="AB4" s="3368" t="s">
        <v>523</v>
      </c>
      <c r="AC4" s="3368" t="s">
        <v>524</v>
      </c>
    </row>
    <row r="5" spans="1:29" ht="15">
      <c r="A5" s="515"/>
      <c r="B5" s="516"/>
      <c r="C5" s="3403" t="s">
        <v>2933</v>
      </c>
      <c r="D5" s="3388"/>
      <c r="E5" s="3408" t="s">
        <v>2934</v>
      </c>
      <c r="F5" s="3409"/>
      <c r="G5" s="3403" t="s">
        <v>2935</v>
      </c>
      <c r="H5" s="3388"/>
      <c r="I5" s="3403" t="s">
        <v>2936</v>
      </c>
      <c r="J5" s="3388"/>
      <c r="K5" s="514"/>
      <c r="L5" s="2133"/>
      <c r="M5" s="2134"/>
      <c r="N5" s="2134"/>
      <c r="O5" s="2134"/>
      <c r="P5" s="3484"/>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485"/>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8" t="s">
        <v>529</v>
      </c>
      <c r="Q7" s="3398"/>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8" t="s">
        <v>532</v>
      </c>
      <c r="Q8" s="3397"/>
      <c r="R8" s="1567" t="s">
        <v>8</v>
      </c>
      <c r="S8" s="1568">
        <f t="shared" si="0"/>
        <v>0</v>
      </c>
      <c r="T8" s="1567" t="s">
        <v>8</v>
      </c>
      <c r="U8" s="1568">
        <f t="shared" si="1"/>
        <v>0</v>
      </c>
      <c r="V8" s="1567" t="s">
        <v>8</v>
      </c>
      <c r="W8" s="1568">
        <f t="shared" si="2"/>
        <v>0</v>
      </c>
      <c r="X8" s="1569"/>
      <c r="Y8" s="3396" t="s">
        <v>532</v>
      </c>
      <c r="Z8" s="3397"/>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9" t="s">
        <v>539</v>
      </c>
      <c r="Q15" s="1571" t="str">
        <f t="shared" si="6"/>
        <v>办公集聚程度</v>
      </c>
      <c r="R15" s="1572" t="s">
        <v>8</v>
      </c>
      <c r="S15" s="1573">
        <f t="shared" si="0"/>
        <v>100</v>
      </c>
      <c r="T15" s="1572" t="s">
        <v>8</v>
      </c>
      <c r="U15" s="1573">
        <f t="shared" si="1"/>
        <v>100</v>
      </c>
      <c r="V15" s="1572" t="s">
        <v>8</v>
      </c>
      <c r="W15" s="1573">
        <f t="shared" si="2"/>
        <v>100</v>
      </c>
      <c r="X15" s="1566"/>
      <c r="Y15" s="3399"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00"/>
      <c r="Q16" s="1571"/>
      <c r="R16" s="1572"/>
      <c r="S16" s="1573"/>
      <c r="T16" s="1572"/>
      <c r="U16" s="1573"/>
      <c r="V16" s="1572"/>
      <c r="W16" s="1573"/>
      <c r="X16" s="1566"/>
      <c r="Y16" s="340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00"/>
      <c r="Q18" s="1571"/>
      <c r="R18" s="1572"/>
      <c r="S18" s="1573"/>
      <c r="T18" s="1572"/>
      <c r="U18" s="1573"/>
      <c r="V18" s="1572"/>
      <c r="W18" s="1573"/>
      <c r="X18" s="1566"/>
      <c r="Y18" s="3400"/>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00"/>
      <c r="Q20" s="1571"/>
      <c r="R20" s="1572"/>
      <c r="S20" s="1573"/>
      <c r="T20" s="1572"/>
      <c r="U20" s="1573"/>
      <c r="V20" s="1572"/>
      <c r="W20" s="1573"/>
      <c r="X20" s="1566"/>
      <c r="Y20" s="3400"/>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00"/>
      <c r="Q22" s="2579"/>
      <c r="R22" s="1572"/>
      <c r="S22" s="1573"/>
      <c r="T22" s="1572"/>
      <c r="U22" s="1573"/>
      <c r="V22" s="1572"/>
      <c r="W22" s="1573"/>
      <c r="X22" s="2581"/>
      <c r="Y22" s="3400"/>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00"/>
      <c r="Q24" s="1571"/>
      <c r="R24" s="1572"/>
      <c r="S24" s="1573"/>
      <c r="T24" s="1572"/>
      <c r="U24" s="1573"/>
      <c r="V24" s="1572"/>
      <c r="W24" s="1573"/>
      <c r="X24" s="1566"/>
      <c r="Y24" s="3400"/>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0"/>
      <c r="Q25" s="1571" t="str">
        <f>B25</f>
        <v>毗邻道路的类型与等级</v>
      </c>
      <c r="R25" s="1572" t="s">
        <v>8</v>
      </c>
      <c r="S25" s="1573">
        <f>F25</f>
        <v>100</v>
      </c>
      <c r="T25" s="1572" t="s">
        <v>8</v>
      </c>
      <c r="U25" s="1573">
        <f>H25</f>
        <v>100</v>
      </c>
      <c r="V25" s="1572" t="s">
        <v>8</v>
      </c>
      <c r="W25" s="1573">
        <f>J25</f>
        <v>100</v>
      </c>
      <c r="X25" s="1566"/>
      <c r="Y25" s="340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00"/>
      <c r="Q26" s="1571"/>
      <c r="R26" s="1572"/>
      <c r="S26" s="1573"/>
      <c r="T26" s="1572"/>
      <c r="U26" s="1573"/>
      <c r="V26" s="1572"/>
      <c r="W26" s="1573"/>
      <c r="X26" s="1566"/>
      <c r="Y26" s="3400"/>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0"/>
      <c r="Q27" s="1571" t="str">
        <f t="shared" ref="Q27:Q47" si="11">B27</f>
        <v>楼层</v>
      </c>
      <c r="R27" s="1572" t="s">
        <v>8</v>
      </c>
      <c r="S27" s="1573">
        <f>F27</f>
        <v>100</v>
      </c>
      <c r="T27" s="1572" t="s">
        <v>8</v>
      </c>
      <c r="U27" s="1573">
        <f>H27</f>
        <v>100</v>
      </c>
      <c r="V27" s="1572" t="s">
        <v>8</v>
      </c>
      <c r="W27" s="1573">
        <f>J27</f>
        <v>100</v>
      </c>
      <c r="X27" s="1566"/>
      <c r="Y27" s="3400"/>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0"/>
      <c r="Q28" s="1150" t="str">
        <f t="shared" si="11"/>
        <v>朝向</v>
      </c>
      <c r="R28" s="1567" t="s">
        <v>8</v>
      </c>
      <c r="S28" s="1568">
        <f>F28</f>
        <v>100</v>
      </c>
      <c r="T28" s="1567" t="s">
        <v>8</v>
      </c>
      <c r="U28" s="1568">
        <f>H28</f>
        <v>100</v>
      </c>
      <c r="V28" s="1567" t="s">
        <v>8</v>
      </c>
      <c r="W28" s="1568">
        <f>J28</f>
        <v>100</v>
      </c>
      <c r="X28" s="1569"/>
      <c r="Y28" s="3400"/>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0"/>
      <c r="Q29" s="1571">
        <f t="shared" si="11"/>
        <v>111</v>
      </c>
      <c r="R29" s="1572" t="s">
        <v>8</v>
      </c>
      <c r="S29" s="1573">
        <f t="shared" ref="S29:S47" si="12">F29</f>
        <v>100</v>
      </c>
      <c r="T29" s="1572" t="s">
        <v>8</v>
      </c>
      <c r="U29" s="1573">
        <f t="shared" ref="U29:U47" si="13">H29</f>
        <v>100</v>
      </c>
      <c r="V29" s="1572" t="s">
        <v>8</v>
      </c>
      <c r="W29" s="1573">
        <f t="shared" ref="W29:W47" si="14">J29</f>
        <v>100</v>
      </c>
      <c r="X29" s="1566"/>
      <c r="Y29" s="3400"/>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0"/>
      <c r="Q32" s="1571">
        <f t="shared" si="11"/>
        <v>111</v>
      </c>
      <c r="R32" s="1572" t="s">
        <v>8</v>
      </c>
      <c r="S32" s="1573">
        <f t="shared" si="12"/>
        <v>100</v>
      </c>
      <c r="T32" s="1572" t="s">
        <v>8</v>
      </c>
      <c r="U32" s="1573">
        <f t="shared" si="13"/>
        <v>100</v>
      </c>
      <c r="V32" s="1572" t="s">
        <v>8</v>
      </c>
      <c r="W32" s="1573">
        <f t="shared" si="14"/>
        <v>100</v>
      </c>
      <c r="X32" s="1566"/>
      <c r="Y32" s="3400"/>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1" t="s">
        <v>549</v>
      </c>
      <c r="Q33" s="1571" t="str">
        <f t="shared" si="11"/>
        <v>建筑类型</v>
      </c>
      <c r="R33" s="1572" t="s">
        <v>8</v>
      </c>
      <c r="S33" s="1573">
        <f t="shared" si="12"/>
        <v>100</v>
      </c>
      <c r="T33" s="1572" t="s">
        <v>8</v>
      </c>
      <c r="U33" s="1573">
        <f t="shared" si="13"/>
        <v>100</v>
      </c>
      <c r="V33" s="1572" t="s">
        <v>8</v>
      </c>
      <c r="W33" s="1573">
        <f t="shared" si="14"/>
        <v>100</v>
      </c>
      <c r="X33" s="1566"/>
      <c r="Y33" s="3402"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2"/>
      <c r="Q34" s="1604" t="str">
        <f t="shared" si="11"/>
        <v>项目建筑规模</v>
      </c>
      <c r="R34" s="1576" t="s">
        <v>8</v>
      </c>
      <c r="S34" s="1577" t="e">
        <f t="shared" si="12"/>
        <v>#N/A</v>
      </c>
      <c r="T34" s="1576" t="s">
        <v>8</v>
      </c>
      <c r="U34" s="1577" t="e">
        <f t="shared" si="13"/>
        <v>#N/A</v>
      </c>
      <c r="V34" s="1576" t="s">
        <v>8</v>
      </c>
      <c r="W34" s="1577" t="e">
        <f t="shared" si="14"/>
        <v>#N/A</v>
      </c>
      <c r="X34" s="1578"/>
      <c r="Y34" s="3402"/>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2"/>
      <c r="Q35" s="1571" t="str">
        <f t="shared" si="11"/>
        <v>建筑结构</v>
      </c>
      <c r="R35" s="1572" t="s">
        <v>8</v>
      </c>
      <c r="S35" s="1573">
        <f t="shared" si="12"/>
        <v>100</v>
      </c>
      <c r="T35" s="1572" t="s">
        <v>8</v>
      </c>
      <c r="U35" s="1573">
        <f t="shared" si="13"/>
        <v>100</v>
      </c>
      <c r="V35" s="1572" t="s">
        <v>8</v>
      </c>
      <c r="W35" s="1573">
        <f t="shared" si="14"/>
        <v>100</v>
      </c>
      <c r="X35" s="1566"/>
      <c r="Y35" s="3402"/>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2"/>
      <c r="Q36" s="1571" t="str">
        <f t="shared" si="11"/>
        <v>公共部分装修</v>
      </c>
      <c r="R36" s="1572" t="s">
        <v>8</v>
      </c>
      <c r="S36" s="1573">
        <f t="shared" si="12"/>
        <v>100</v>
      </c>
      <c r="T36" s="1572" t="s">
        <v>8</v>
      </c>
      <c r="U36" s="1573">
        <f t="shared" si="13"/>
        <v>100</v>
      </c>
      <c r="V36" s="1572" t="s">
        <v>8</v>
      </c>
      <c r="W36" s="1573">
        <f t="shared" si="14"/>
        <v>100</v>
      </c>
      <c r="X36" s="1566"/>
      <c r="Y36" s="3402"/>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2"/>
      <c r="Q37" s="1571" t="str">
        <f t="shared" si="11"/>
        <v>成新度</v>
      </c>
      <c r="R37" s="1572" t="s">
        <v>8</v>
      </c>
      <c r="S37" s="1573" t="e">
        <f t="shared" si="12"/>
        <v>#N/A</v>
      </c>
      <c r="T37" s="1572" t="s">
        <v>8</v>
      </c>
      <c r="U37" s="1573" t="e">
        <f t="shared" si="13"/>
        <v>#N/A</v>
      </c>
      <c r="V37" s="1572" t="s">
        <v>8</v>
      </c>
      <c r="W37" s="1573" t="e">
        <f t="shared" si="14"/>
        <v>#N/A</v>
      </c>
      <c r="X37" s="1566"/>
      <c r="Y37" s="3402"/>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2"/>
      <c r="Q38" s="1150" t="str">
        <f t="shared" si="11"/>
        <v>写字楼等级</v>
      </c>
      <c r="R38" s="1567" t="s">
        <v>8</v>
      </c>
      <c r="S38" s="1568">
        <f t="shared" si="12"/>
        <v>100</v>
      </c>
      <c r="T38" s="1567" t="s">
        <v>8</v>
      </c>
      <c r="U38" s="1568">
        <f t="shared" si="13"/>
        <v>100</v>
      </c>
      <c r="V38" s="1567" t="s">
        <v>8</v>
      </c>
      <c r="W38" s="1568">
        <f t="shared" si="14"/>
        <v>100</v>
      </c>
      <c r="X38" s="1569"/>
      <c r="Y38" s="3402"/>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2" t="s">
        <v>549</v>
      </c>
      <c r="Q39" s="1571" t="str">
        <f t="shared" si="11"/>
        <v>物业管理</v>
      </c>
      <c r="R39" s="1572" t="s">
        <v>8</v>
      </c>
      <c r="S39" s="1573">
        <f t="shared" si="12"/>
        <v>100</v>
      </c>
      <c r="T39" s="1572" t="s">
        <v>8</v>
      </c>
      <c r="U39" s="1573">
        <f t="shared" si="13"/>
        <v>100</v>
      </c>
      <c r="V39" s="1572" t="s">
        <v>8</v>
      </c>
      <c r="W39" s="1573">
        <f t="shared" si="14"/>
        <v>100</v>
      </c>
      <c r="X39" s="1566"/>
      <c r="Y39" s="3402"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2"/>
      <c r="Q40" s="1571" t="str">
        <f t="shared" si="11"/>
        <v>市政基础设施</v>
      </c>
      <c r="R40" s="1572" t="s">
        <v>8</v>
      </c>
      <c r="S40" s="1573">
        <f t="shared" si="12"/>
        <v>100</v>
      </c>
      <c r="T40" s="1572" t="s">
        <v>8</v>
      </c>
      <c r="U40" s="1573">
        <f t="shared" si="13"/>
        <v>100</v>
      </c>
      <c r="V40" s="1572" t="s">
        <v>8</v>
      </c>
      <c r="W40" s="1573">
        <f t="shared" si="14"/>
        <v>100</v>
      </c>
      <c r="X40" s="1566"/>
      <c r="Y40" s="3402"/>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2"/>
      <c r="Q41" s="1571" t="str">
        <f t="shared" si="11"/>
        <v>层高</v>
      </c>
      <c r="R41" s="1572" t="s">
        <v>8</v>
      </c>
      <c r="S41" s="1573">
        <f t="shared" si="12"/>
        <v>100</v>
      </c>
      <c r="T41" s="1572" t="s">
        <v>8</v>
      </c>
      <c r="U41" s="1573">
        <f t="shared" si="13"/>
        <v>100</v>
      </c>
      <c r="V41" s="1572" t="s">
        <v>8</v>
      </c>
      <c r="W41" s="1573">
        <f t="shared" si="14"/>
        <v>100</v>
      </c>
      <c r="X41" s="1566"/>
      <c r="Y41" s="3402"/>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2"/>
      <c r="Q42" s="1604" t="str">
        <f t="shared" si="11"/>
        <v>单套建筑面积</v>
      </c>
      <c r="R42" s="1576" t="s">
        <v>8</v>
      </c>
      <c r="S42" s="1577">
        <f t="shared" si="12"/>
        <v>100</v>
      </c>
      <c r="T42" s="1576" t="s">
        <v>8</v>
      </c>
      <c r="U42" s="1577">
        <f t="shared" si="13"/>
        <v>100</v>
      </c>
      <c r="V42" s="1576" t="s">
        <v>8</v>
      </c>
      <c r="W42" s="1577">
        <f t="shared" si="14"/>
        <v>100</v>
      </c>
      <c r="X42" s="1578"/>
      <c r="Y42" s="3402"/>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2"/>
      <c r="Q43" s="1571" t="str">
        <f t="shared" si="11"/>
        <v>内部装修</v>
      </c>
      <c r="R43" s="1572" t="s">
        <v>8</v>
      </c>
      <c r="S43" s="1573">
        <f t="shared" si="12"/>
        <v>100</v>
      </c>
      <c r="T43" s="1572" t="s">
        <v>8</v>
      </c>
      <c r="U43" s="1573">
        <f t="shared" si="13"/>
        <v>100</v>
      </c>
      <c r="V43" s="1572" t="s">
        <v>8</v>
      </c>
      <c r="W43" s="1573">
        <f t="shared" si="14"/>
        <v>100</v>
      </c>
      <c r="X43" s="1566"/>
      <c r="Y43" s="3402"/>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2"/>
      <c r="Q44" s="1571" t="str">
        <f t="shared" si="11"/>
        <v>内部装修维护情况</v>
      </c>
      <c r="R44" s="1572" t="s">
        <v>8</v>
      </c>
      <c r="S44" s="1573">
        <f t="shared" si="12"/>
        <v>100</v>
      </c>
      <c r="T44" s="1572" t="s">
        <v>8</v>
      </c>
      <c r="U44" s="1573">
        <f t="shared" si="13"/>
        <v>100</v>
      </c>
      <c r="V44" s="1572" t="s">
        <v>8</v>
      </c>
      <c r="W44" s="1573">
        <f t="shared" si="14"/>
        <v>100</v>
      </c>
      <c r="X44" s="1566"/>
      <c r="Y44" s="3402"/>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2"/>
      <c r="Q45" s="1150">
        <f t="shared" si="11"/>
        <v>111</v>
      </c>
      <c r="R45" s="1567" t="s">
        <v>8</v>
      </c>
      <c r="S45" s="1568">
        <f t="shared" si="12"/>
        <v>100</v>
      </c>
      <c r="T45" s="1567" t="s">
        <v>8</v>
      </c>
      <c r="U45" s="1568">
        <f t="shared" si="13"/>
        <v>100</v>
      </c>
      <c r="V45" s="1567" t="s">
        <v>8</v>
      </c>
      <c r="W45" s="1568">
        <f t="shared" si="14"/>
        <v>100</v>
      </c>
      <c r="X45" s="1569"/>
      <c r="Y45" s="340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2"/>
      <c r="Q46" s="1571">
        <f t="shared" si="11"/>
        <v>111</v>
      </c>
      <c r="R46" s="1572" t="s">
        <v>8</v>
      </c>
      <c r="S46" s="1573">
        <f t="shared" si="12"/>
        <v>100</v>
      </c>
      <c r="T46" s="1572" t="s">
        <v>8</v>
      </c>
      <c r="U46" s="1573">
        <f t="shared" si="13"/>
        <v>100</v>
      </c>
      <c r="V46" s="1572" t="s">
        <v>8</v>
      </c>
      <c r="W46" s="1573">
        <f t="shared" si="14"/>
        <v>100</v>
      </c>
      <c r="X46" s="1566"/>
      <c r="Y46" s="3402"/>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0"/>
      <c r="Q47" s="1571">
        <f t="shared" si="11"/>
        <v>111</v>
      </c>
      <c r="R47" s="1572" t="s">
        <v>8</v>
      </c>
      <c r="S47" s="1573">
        <f t="shared" si="12"/>
        <v>100</v>
      </c>
      <c r="T47" s="1572" t="s">
        <v>8</v>
      </c>
      <c r="U47" s="1573">
        <f t="shared" si="13"/>
        <v>100</v>
      </c>
      <c r="V47" s="1572" t="s">
        <v>8</v>
      </c>
      <c r="W47" s="1573">
        <f t="shared" si="14"/>
        <v>100</v>
      </c>
      <c r="X47" s="1566"/>
      <c r="Y47" s="3480"/>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363" t="str">
        <f>A48</f>
        <v>成交单价（元/平方米）</v>
      </c>
      <c r="Q48" s="3365"/>
      <c r="R48" s="3479">
        <f>E48</f>
        <v>0</v>
      </c>
      <c r="S48" s="3479"/>
      <c r="T48" s="3479">
        <f>G48</f>
        <v>0</v>
      </c>
      <c r="U48" s="3479"/>
      <c r="V48" s="3479">
        <f>I48</f>
        <v>0</v>
      </c>
      <c r="W48" s="3479"/>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363" t="str">
        <f>A49</f>
        <v>比较价格（元/平方米）</v>
      </c>
      <c r="Q49" s="336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82" t="str">
        <f>A50</f>
        <v>估价对象XX用房的比较价格（楼面单价，元/平方米）</v>
      </c>
      <c r="Q50" s="3363"/>
      <c r="R50" s="3478" t="e">
        <f>IF(F1="售价",ROUND(AVERAGE(R49:V49),0),ROUND(AVERAGE(R49:V49),1))</f>
        <v>#DIV/0!</v>
      </c>
      <c r="S50" s="3478"/>
      <c r="T50" s="3478"/>
      <c r="U50" s="3478"/>
      <c r="V50" s="3478"/>
      <c r="W50" s="347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71" t="s">
        <v>521</v>
      </c>
      <c r="D4" s="3372"/>
      <c r="E4" s="3406" t="s">
        <v>522</v>
      </c>
      <c r="F4" s="3407"/>
      <c r="G4" s="3371" t="s">
        <v>523</v>
      </c>
      <c r="H4" s="3372"/>
      <c r="I4" s="3371" t="s">
        <v>524</v>
      </c>
      <c r="J4" s="3372"/>
      <c r="K4" s="514" t="s">
        <v>525</v>
      </c>
      <c r="L4" s="2133"/>
      <c r="M4" s="2134"/>
      <c r="N4" s="2134"/>
      <c r="O4" s="2134"/>
      <c r="P4" s="3373" t="s">
        <v>526</v>
      </c>
      <c r="Q4" s="3374"/>
      <c r="R4" s="3379" t="s">
        <v>522</v>
      </c>
      <c r="S4" s="3380"/>
      <c r="T4" s="3379" t="s">
        <v>523</v>
      </c>
      <c r="U4" s="3380"/>
      <c r="V4" s="3366" t="s">
        <v>524</v>
      </c>
      <c r="W4" s="3366"/>
      <c r="X4" s="1566"/>
      <c r="Y4" s="3379" t="s">
        <v>526</v>
      </c>
      <c r="Z4" s="3380"/>
      <c r="AA4" s="3368" t="s">
        <v>522</v>
      </c>
      <c r="AB4" s="3369" t="s">
        <v>523</v>
      </c>
      <c r="AC4" s="3368" t="s">
        <v>524</v>
      </c>
    </row>
    <row r="5" spans="1:29" ht="15">
      <c r="A5" s="515"/>
      <c r="B5" s="516"/>
      <c r="C5" s="3403" t="s">
        <v>2933</v>
      </c>
      <c r="D5" s="3388"/>
      <c r="E5" s="3408" t="s">
        <v>2934</v>
      </c>
      <c r="F5" s="3409"/>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6" t="s">
        <v>529</v>
      </c>
      <c r="Q7" s="3398"/>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5" t="s">
        <v>534</v>
      </c>
      <c r="Q9" s="1150" t="str">
        <f t="shared" ref="Q9:Q15" si="6">B9</f>
        <v>用途</v>
      </c>
      <c r="R9" s="1567" t="s">
        <v>8</v>
      </c>
      <c r="S9" s="1568">
        <f t="shared" si="0"/>
        <v>100</v>
      </c>
      <c r="T9" s="1567" t="s">
        <v>8</v>
      </c>
      <c r="U9" s="1568">
        <f t="shared" si="1"/>
        <v>100</v>
      </c>
      <c r="V9" s="1567" t="s">
        <v>8</v>
      </c>
      <c r="W9" s="1568">
        <f t="shared" si="2"/>
        <v>100</v>
      </c>
      <c r="X9" s="1569"/>
      <c r="Y9" s="3311"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9" t="s">
        <v>539</v>
      </c>
      <c r="Q15" s="1571" t="str">
        <f t="shared" si="6"/>
        <v>产业集聚程度</v>
      </c>
      <c r="R15" s="1572" t="s">
        <v>8</v>
      </c>
      <c r="S15" s="1573">
        <f t="shared" si="0"/>
        <v>100</v>
      </c>
      <c r="T15" s="1572" t="s">
        <v>8</v>
      </c>
      <c r="U15" s="1573">
        <f t="shared" si="1"/>
        <v>100</v>
      </c>
      <c r="V15" s="1572" t="s">
        <v>8</v>
      </c>
      <c r="W15" s="1573">
        <f t="shared" si="2"/>
        <v>100</v>
      </c>
      <c r="X15" s="1566"/>
      <c r="Y15" s="3399"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00"/>
      <c r="Q22" s="2579"/>
      <c r="R22" s="1572"/>
      <c r="S22" s="1573"/>
      <c r="T22" s="1572"/>
      <c r="U22" s="1573"/>
      <c r="V22" s="1572"/>
      <c r="W22" s="1573"/>
      <c r="X22" s="2581"/>
      <c r="Y22" s="3400"/>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0"/>
      <c r="Q25" s="1571">
        <f>B25</f>
        <v>111</v>
      </c>
      <c r="R25" s="1572" t="s">
        <v>8</v>
      </c>
      <c r="S25" s="1573">
        <f>F25</f>
        <v>100</v>
      </c>
      <c r="T25" s="1572" t="s">
        <v>8</v>
      </c>
      <c r="U25" s="1573">
        <f>H25</f>
        <v>100</v>
      </c>
      <c r="V25" s="1572" t="s">
        <v>8</v>
      </c>
      <c r="W25" s="1573">
        <f>J25</f>
        <v>100</v>
      </c>
      <c r="X25" s="1566"/>
      <c r="Y25" s="340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0"/>
      <c r="Q26" s="1571">
        <f t="shared" ref="Q26:Q40" si="11">B26</f>
        <v>111</v>
      </c>
      <c r="R26" s="1572" t="s">
        <v>8</v>
      </c>
      <c r="S26" s="1573">
        <f>F26</f>
        <v>100</v>
      </c>
      <c r="T26" s="1572" t="s">
        <v>8</v>
      </c>
      <c r="U26" s="1573">
        <f>H26</f>
        <v>100</v>
      </c>
      <c r="V26" s="1572" t="s">
        <v>8</v>
      </c>
      <c r="W26" s="1573">
        <f>J26</f>
        <v>100</v>
      </c>
      <c r="X26" s="1566"/>
      <c r="Y26" s="340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0"/>
      <c r="Q27" s="1150">
        <f t="shared" si="11"/>
        <v>111</v>
      </c>
      <c r="R27" s="1567" t="s">
        <v>8</v>
      </c>
      <c r="S27" s="1568">
        <f>F27</f>
        <v>100</v>
      </c>
      <c r="T27" s="1567" t="s">
        <v>8</v>
      </c>
      <c r="U27" s="1568">
        <f>H27</f>
        <v>100</v>
      </c>
      <c r="V27" s="1567" t="s">
        <v>8</v>
      </c>
      <c r="W27" s="1568">
        <f>J27</f>
        <v>100</v>
      </c>
      <c r="X27" s="1569"/>
      <c r="Y27" s="340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0"/>
      <c r="Q28" s="1571">
        <f t="shared" si="11"/>
        <v>111</v>
      </c>
      <c r="R28" s="1572" t="s">
        <v>8</v>
      </c>
      <c r="S28" s="1573">
        <f t="shared" ref="S28:S40" si="12">F28</f>
        <v>100</v>
      </c>
      <c r="T28" s="1572" t="s">
        <v>8</v>
      </c>
      <c r="U28" s="1573">
        <f t="shared" ref="U28:U40" si="13">H28</f>
        <v>100</v>
      </c>
      <c r="V28" s="1572" t="s">
        <v>8</v>
      </c>
      <c r="W28" s="1573">
        <f t="shared" ref="W28:W40" si="14">J28</f>
        <v>100</v>
      </c>
      <c r="X28" s="1566"/>
      <c r="Y28" s="3400"/>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1" t="s">
        <v>549</v>
      </c>
      <c r="Q29" s="1571" t="str">
        <f t="shared" si="11"/>
        <v>建筑类型</v>
      </c>
      <c r="R29" s="1572" t="s">
        <v>8</v>
      </c>
      <c r="S29" s="1573">
        <f t="shared" si="12"/>
        <v>100</v>
      </c>
      <c r="T29" s="1572" t="s">
        <v>8</v>
      </c>
      <c r="U29" s="1573">
        <f t="shared" si="13"/>
        <v>100</v>
      </c>
      <c r="V29" s="1572" t="s">
        <v>8</v>
      </c>
      <c r="W29" s="1573">
        <f t="shared" si="14"/>
        <v>100</v>
      </c>
      <c r="X29" s="1566"/>
      <c r="Y29" s="3402"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2"/>
      <c r="Q30" s="1604" t="str">
        <f t="shared" si="11"/>
        <v>项目建筑规模</v>
      </c>
      <c r="R30" s="1576" t="s">
        <v>8</v>
      </c>
      <c r="S30" s="1577" t="e">
        <f t="shared" si="12"/>
        <v>#N/A</v>
      </c>
      <c r="T30" s="1576" t="s">
        <v>8</v>
      </c>
      <c r="U30" s="1577" t="e">
        <f t="shared" si="13"/>
        <v>#N/A</v>
      </c>
      <c r="V30" s="1576" t="s">
        <v>8</v>
      </c>
      <c r="W30" s="1577" t="e">
        <f t="shared" si="14"/>
        <v>#N/A</v>
      </c>
      <c r="X30" s="1578"/>
      <c r="Y30" s="3402"/>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2"/>
      <c r="Q31" s="1571" t="str">
        <f t="shared" si="11"/>
        <v>建筑结构</v>
      </c>
      <c r="R31" s="1572" t="s">
        <v>8</v>
      </c>
      <c r="S31" s="1573">
        <f t="shared" si="12"/>
        <v>100</v>
      </c>
      <c r="T31" s="1572" t="s">
        <v>8</v>
      </c>
      <c r="U31" s="1573">
        <f t="shared" si="13"/>
        <v>100</v>
      </c>
      <c r="V31" s="1572" t="s">
        <v>8</v>
      </c>
      <c r="W31" s="1573">
        <f t="shared" si="14"/>
        <v>100</v>
      </c>
      <c r="X31" s="1566"/>
      <c r="Y31" s="3402"/>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2"/>
      <c r="Q32" s="1571" t="str">
        <f t="shared" si="11"/>
        <v>公共部分装修</v>
      </c>
      <c r="R32" s="1572" t="s">
        <v>8</v>
      </c>
      <c r="S32" s="1573">
        <f t="shared" si="12"/>
        <v>100</v>
      </c>
      <c r="T32" s="1572" t="s">
        <v>8</v>
      </c>
      <c r="U32" s="1573">
        <f t="shared" si="13"/>
        <v>100</v>
      </c>
      <c r="V32" s="1572" t="s">
        <v>8</v>
      </c>
      <c r="W32" s="1573">
        <f t="shared" si="14"/>
        <v>100</v>
      </c>
      <c r="X32" s="1566"/>
      <c r="Y32" s="3402"/>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2"/>
      <c r="Q33" s="1571" t="str">
        <f t="shared" si="11"/>
        <v>成新度</v>
      </c>
      <c r="R33" s="1572" t="s">
        <v>8</v>
      </c>
      <c r="S33" s="1573" t="e">
        <f t="shared" si="12"/>
        <v>#N/A</v>
      </c>
      <c r="T33" s="1572" t="s">
        <v>8</v>
      </c>
      <c r="U33" s="1573" t="e">
        <f t="shared" si="13"/>
        <v>#N/A</v>
      </c>
      <c r="V33" s="1572" t="s">
        <v>8</v>
      </c>
      <c r="W33" s="1573" t="e">
        <f t="shared" si="14"/>
        <v>#N/A</v>
      </c>
      <c r="X33" s="1566"/>
      <c r="Y33" s="3402"/>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2"/>
      <c r="Q34" s="1150" t="str">
        <f t="shared" si="11"/>
        <v>物业管理</v>
      </c>
      <c r="R34" s="1567" t="s">
        <v>8</v>
      </c>
      <c r="S34" s="1568">
        <f t="shared" si="12"/>
        <v>100</v>
      </c>
      <c r="T34" s="1567" t="s">
        <v>8</v>
      </c>
      <c r="U34" s="1568">
        <f t="shared" si="13"/>
        <v>100</v>
      </c>
      <c r="V34" s="1567" t="s">
        <v>8</v>
      </c>
      <c r="W34" s="1568">
        <f t="shared" si="14"/>
        <v>100</v>
      </c>
      <c r="X34" s="1569"/>
      <c r="Y34" s="3402"/>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2" t="s">
        <v>549</v>
      </c>
      <c r="Q35" s="1571" t="str">
        <f t="shared" si="11"/>
        <v>市政基础设施</v>
      </c>
      <c r="R35" s="1572" t="s">
        <v>8</v>
      </c>
      <c r="S35" s="1573">
        <f t="shared" si="12"/>
        <v>100</v>
      </c>
      <c r="T35" s="1572" t="s">
        <v>8</v>
      </c>
      <c r="U35" s="1573">
        <f t="shared" si="13"/>
        <v>100</v>
      </c>
      <c r="V35" s="1572" t="s">
        <v>8</v>
      </c>
      <c r="W35" s="1573">
        <f t="shared" si="14"/>
        <v>100</v>
      </c>
      <c r="X35" s="1566"/>
      <c r="Y35" s="3402"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2"/>
      <c r="Q36" s="1571" t="str">
        <f t="shared" si="11"/>
        <v>内部装修</v>
      </c>
      <c r="R36" s="1572" t="s">
        <v>8</v>
      </c>
      <c r="S36" s="1573">
        <f t="shared" si="12"/>
        <v>100</v>
      </c>
      <c r="T36" s="1572" t="s">
        <v>8</v>
      </c>
      <c r="U36" s="1573">
        <f t="shared" si="13"/>
        <v>100</v>
      </c>
      <c r="V36" s="1572" t="s">
        <v>8</v>
      </c>
      <c r="W36" s="1573">
        <f t="shared" si="14"/>
        <v>100</v>
      </c>
      <c r="X36" s="1566"/>
      <c r="Y36" s="3402"/>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2"/>
      <c r="Q37" s="1571" t="str">
        <f t="shared" si="11"/>
        <v>内部装修状况</v>
      </c>
      <c r="R37" s="1572" t="s">
        <v>8</v>
      </c>
      <c r="S37" s="1573">
        <f t="shared" si="12"/>
        <v>100</v>
      </c>
      <c r="T37" s="1572" t="s">
        <v>8</v>
      </c>
      <c r="U37" s="1573">
        <f t="shared" si="13"/>
        <v>100</v>
      </c>
      <c r="V37" s="1572" t="s">
        <v>8</v>
      </c>
      <c r="W37" s="1573">
        <f t="shared" si="14"/>
        <v>100</v>
      </c>
      <c r="X37" s="1566"/>
      <c r="Y37" s="3402"/>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2"/>
      <c r="Q38" s="1604">
        <f t="shared" si="11"/>
        <v>111</v>
      </c>
      <c r="R38" s="1576" t="s">
        <v>8</v>
      </c>
      <c r="S38" s="1577">
        <f t="shared" si="12"/>
        <v>100</v>
      </c>
      <c r="T38" s="1576" t="s">
        <v>8</v>
      </c>
      <c r="U38" s="1577">
        <f t="shared" si="13"/>
        <v>100</v>
      </c>
      <c r="V38" s="1576" t="s">
        <v>8</v>
      </c>
      <c r="W38" s="1577">
        <f t="shared" si="14"/>
        <v>100</v>
      </c>
      <c r="X38" s="1578"/>
      <c r="Y38" s="3402"/>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2"/>
      <c r="Q39" s="1571">
        <f t="shared" si="11"/>
        <v>111</v>
      </c>
      <c r="R39" s="1572" t="s">
        <v>8</v>
      </c>
      <c r="S39" s="1573">
        <f t="shared" si="12"/>
        <v>100</v>
      </c>
      <c r="T39" s="1572" t="s">
        <v>8</v>
      </c>
      <c r="U39" s="1573">
        <f t="shared" si="13"/>
        <v>100</v>
      </c>
      <c r="V39" s="1572" t="s">
        <v>8</v>
      </c>
      <c r="W39" s="1573">
        <f t="shared" si="14"/>
        <v>100</v>
      </c>
      <c r="X39" s="1566"/>
      <c r="Y39" s="3402"/>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0"/>
      <c r="Q40" s="1571">
        <f t="shared" si="11"/>
        <v>111</v>
      </c>
      <c r="R40" s="1572" t="s">
        <v>8</v>
      </c>
      <c r="S40" s="1573">
        <f t="shared" si="12"/>
        <v>100</v>
      </c>
      <c r="T40" s="1572" t="s">
        <v>8</v>
      </c>
      <c r="U40" s="1573">
        <f t="shared" si="13"/>
        <v>100</v>
      </c>
      <c r="V40" s="1572" t="s">
        <v>8</v>
      </c>
      <c r="W40" s="1573">
        <f t="shared" si="14"/>
        <v>100</v>
      </c>
      <c r="X40" s="1566"/>
      <c r="Y40" s="3480"/>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65" t="str">
        <f>A41</f>
        <v>成交单价（元/平方米）</v>
      </c>
      <c r="Q41" s="3365"/>
      <c r="R41" s="3479">
        <f>E41</f>
        <v>0</v>
      </c>
      <c r="S41" s="3479"/>
      <c r="T41" s="3479">
        <f>G41</f>
        <v>0</v>
      </c>
      <c r="U41" s="3479"/>
      <c r="V41" s="3479">
        <f>I41</f>
        <v>0</v>
      </c>
      <c r="W41" s="3479"/>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65" t="str">
        <f>A42</f>
        <v>比较价格（元/平方米）</v>
      </c>
      <c r="Q42" s="336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362" t="str">
        <f>A43</f>
        <v>估价对象XX用房的比较价格（楼面单价，元/平方米）</v>
      </c>
      <c r="Q43" s="3363"/>
      <c r="R43" s="3478" t="e">
        <f>IF(F1="售价",ROUND(AVERAGE(R42:V42),0),ROUND(AVERAGE(R42:V42),1))</f>
        <v>#DIV/0!</v>
      </c>
      <c r="S43" s="3478"/>
      <c r="T43" s="3478"/>
      <c r="U43" s="3478"/>
      <c r="V43" s="3478"/>
      <c r="W43" s="347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71" t="s">
        <v>797</v>
      </c>
      <c r="D4" s="3372"/>
      <c r="E4" s="3371" t="s">
        <v>798</v>
      </c>
      <c r="F4" s="3372"/>
      <c r="G4" s="3371" t="s">
        <v>799</v>
      </c>
      <c r="H4" s="3372"/>
      <c r="I4" s="3371" t="s">
        <v>800</v>
      </c>
      <c r="J4" s="3372"/>
      <c r="K4" s="514" t="s">
        <v>801</v>
      </c>
      <c r="L4" s="2133"/>
      <c r="M4" s="2134"/>
      <c r="N4" s="2134"/>
      <c r="O4" s="2134"/>
      <c r="P4" s="3373" t="s">
        <v>802</v>
      </c>
      <c r="Q4" s="3374"/>
      <c r="R4" s="3379" t="s">
        <v>798</v>
      </c>
      <c r="S4" s="3380"/>
      <c r="T4" s="3379" t="s">
        <v>799</v>
      </c>
      <c r="U4" s="3380"/>
      <c r="V4" s="3366" t="s">
        <v>800</v>
      </c>
      <c r="W4" s="3366"/>
      <c r="X4" s="1566"/>
      <c r="Y4" s="3379" t="s">
        <v>802</v>
      </c>
      <c r="Z4" s="3380"/>
      <c r="AA4" s="3368" t="s">
        <v>798</v>
      </c>
      <c r="AB4" s="3369" t="s">
        <v>799</v>
      </c>
      <c r="AC4" s="3368" t="s">
        <v>800</v>
      </c>
    </row>
    <row r="5" spans="1:29" ht="15">
      <c r="A5" s="515"/>
      <c r="B5" s="516"/>
      <c r="C5" s="3403" t="s">
        <v>2933</v>
      </c>
      <c r="D5" s="3388"/>
      <c r="E5" s="3403" t="s">
        <v>2934</v>
      </c>
      <c r="F5" s="3388"/>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389" t="s">
        <v>2937</v>
      </c>
      <c r="F6" s="3390"/>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6" t="s">
        <v>529</v>
      </c>
      <c r="Q7" s="3398"/>
      <c r="R7" s="1567" t="s">
        <v>8</v>
      </c>
      <c r="S7" s="1568">
        <f t="shared" ref="S7:S14" si="0">F7</f>
        <v>0</v>
      </c>
      <c r="T7" s="1567" t="s">
        <v>8</v>
      </c>
      <c r="U7" s="1568">
        <f t="shared" ref="U7:U14" si="1">H7</f>
        <v>0</v>
      </c>
      <c r="V7" s="1567" t="s">
        <v>8</v>
      </c>
      <c r="W7" s="1568">
        <f t="shared" ref="W7:W14"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5" t="s">
        <v>534</v>
      </c>
      <c r="Q9" s="1150" t="str">
        <f t="shared" ref="Q9:Q14" si="6">B9</f>
        <v>用途</v>
      </c>
      <c r="R9" s="1567" t="s">
        <v>8</v>
      </c>
      <c r="S9" s="1568">
        <f t="shared" si="0"/>
        <v>100</v>
      </c>
      <c r="T9" s="1567" t="s">
        <v>8</v>
      </c>
      <c r="U9" s="1568">
        <f t="shared" si="1"/>
        <v>100</v>
      </c>
      <c r="V9" s="1567" t="s">
        <v>8</v>
      </c>
      <c r="W9" s="1568">
        <f t="shared" si="2"/>
        <v>100</v>
      </c>
      <c r="X9" s="1569"/>
      <c r="Y9" s="3311"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5"/>
      <c r="Q11" s="1150">
        <f t="shared" si="6"/>
        <v>111</v>
      </c>
      <c r="R11" s="1567" t="s">
        <v>8</v>
      </c>
      <c r="S11" s="1568">
        <f t="shared" si="0"/>
        <v>100</v>
      </c>
      <c r="T11" s="1567" t="s">
        <v>8</v>
      </c>
      <c r="U11" s="1568">
        <f t="shared" si="1"/>
        <v>100</v>
      </c>
      <c r="V11" s="1567" t="s">
        <v>8</v>
      </c>
      <c r="W11" s="1568">
        <f t="shared" si="2"/>
        <v>100</v>
      </c>
      <c r="X11" s="1569"/>
      <c r="Y11" s="3311"/>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9" t="s">
        <v>539</v>
      </c>
      <c r="Q14" s="1571" t="str">
        <f t="shared" si="6"/>
        <v>交通便捷度</v>
      </c>
      <c r="R14" s="1572" t="s">
        <v>8</v>
      </c>
      <c r="S14" s="1573">
        <f t="shared" si="0"/>
        <v>100</v>
      </c>
      <c r="T14" s="1572" t="s">
        <v>8</v>
      </c>
      <c r="U14" s="1573">
        <f t="shared" si="1"/>
        <v>100</v>
      </c>
      <c r="V14" s="1572" t="s">
        <v>8</v>
      </c>
      <c r="W14" s="1573">
        <f t="shared" si="2"/>
        <v>100</v>
      </c>
      <c r="X14" s="1566"/>
      <c r="Y14" s="3399"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00"/>
      <c r="Q15" s="1571"/>
      <c r="R15" s="1572"/>
      <c r="S15" s="1573"/>
      <c r="T15" s="1572"/>
      <c r="U15" s="1573"/>
      <c r="V15" s="1572"/>
      <c r="W15" s="1573"/>
      <c r="X15" s="1566"/>
      <c r="Y15" s="3400"/>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00"/>
      <c r="Q17" s="1571"/>
      <c r="R17" s="1572"/>
      <c r="S17" s="1573"/>
      <c r="T17" s="1572"/>
      <c r="U17" s="1573"/>
      <c r="V17" s="1572"/>
      <c r="W17" s="1573"/>
      <c r="X17" s="1566"/>
      <c r="Y17" s="3400"/>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0"/>
      <c r="Q18" s="2579" t="str">
        <f>B18</f>
        <v>基础设施水平</v>
      </c>
      <c r="R18" s="1572" t="s">
        <v>8</v>
      </c>
      <c r="S18" s="1573">
        <f>F18</f>
        <v>100</v>
      </c>
      <c r="T18" s="1572" t="s">
        <v>8</v>
      </c>
      <c r="U18" s="1573">
        <f>H18</f>
        <v>100</v>
      </c>
      <c r="V18" s="1572" t="s">
        <v>8</v>
      </c>
      <c r="W18" s="1573">
        <f>J18</f>
        <v>100</v>
      </c>
      <c r="X18" s="2581"/>
      <c r="Y18" s="3400"/>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00"/>
      <c r="Q19" s="2579"/>
      <c r="R19" s="1572"/>
      <c r="S19" s="1573"/>
      <c r="T19" s="1572"/>
      <c r="U19" s="1573"/>
      <c r="V19" s="1572"/>
      <c r="W19" s="1573"/>
      <c r="X19" s="2581"/>
      <c r="Y19" s="3400"/>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0"/>
      <c r="Q24" s="1571">
        <f t="shared" ref="Q24:Q36"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1"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2"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2"/>
      <c r="Q27" s="1604" t="str">
        <f t="shared" si="11"/>
        <v>项目停车位配比</v>
      </c>
      <c r="R27" s="1576" t="s">
        <v>8</v>
      </c>
      <c r="S27" s="1577">
        <f t="shared" si="12"/>
        <v>100</v>
      </c>
      <c r="T27" s="1576" t="s">
        <v>8</v>
      </c>
      <c r="U27" s="1577">
        <f t="shared" si="13"/>
        <v>100</v>
      </c>
      <c r="V27" s="1576" t="s">
        <v>8</v>
      </c>
      <c r="W27" s="1577">
        <f t="shared" si="14"/>
        <v>100</v>
      </c>
      <c r="X27" s="1578"/>
      <c r="Y27" s="3402"/>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2"/>
      <c r="Q28" s="1571" t="str">
        <f t="shared" si="11"/>
        <v>公共部分装修</v>
      </c>
      <c r="R28" s="1572" t="s">
        <v>8</v>
      </c>
      <c r="S28" s="1573">
        <f t="shared" si="12"/>
        <v>100</v>
      </c>
      <c r="T28" s="1572" t="s">
        <v>8</v>
      </c>
      <c r="U28" s="1573">
        <f t="shared" si="13"/>
        <v>100</v>
      </c>
      <c r="V28" s="1572" t="s">
        <v>8</v>
      </c>
      <c r="W28" s="1573">
        <f t="shared" si="14"/>
        <v>100</v>
      </c>
      <c r="X28" s="1566"/>
      <c r="Y28" s="3402"/>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2"/>
      <c r="Q29" s="1571" t="str">
        <f t="shared" si="11"/>
        <v>成新率</v>
      </c>
      <c r="R29" s="1572" t="s">
        <v>8</v>
      </c>
      <c r="S29" s="1573" t="e">
        <f t="shared" si="12"/>
        <v>#N/A</v>
      </c>
      <c r="T29" s="1572" t="s">
        <v>8</v>
      </c>
      <c r="U29" s="1573" t="e">
        <f t="shared" si="13"/>
        <v>#N/A</v>
      </c>
      <c r="V29" s="1572" t="s">
        <v>8</v>
      </c>
      <c r="W29" s="1573" t="e">
        <f t="shared" si="14"/>
        <v>#N/A</v>
      </c>
      <c r="X29" s="1566"/>
      <c r="Y29" s="3402"/>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2"/>
      <c r="Q30" s="1571" t="str">
        <f t="shared" si="11"/>
        <v>物业等级</v>
      </c>
      <c r="R30" s="1572" t="s">
        <v>8</v>
      </c>
      <c r="S30" s="1573">
        <f t="shared" si="12"/>
        <v>100</v>
      </c>
      <c r="T30" s="1572" t="s">
        <v>8</v>
      </c>
      <c r="U30" s="1573">
        <f t="shared" si="13"/>
        <v>100</v>
      </c>
      <c r="V30" s="1572" t="s">
        <v>8</v>
      </c>
      <c r="W30" s="1573">
        <f t="shared" si="14"/>
        <v>100</v>
      </c>
      <c r="X30" s="1566"/>
      <c r="Y30" s="3402"/>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2"/>
      <c r="Q31" s="1150" t="str">
        <f t="shared" si="11"/>
        <v>停车位面积</v>
      </c>
      <c r="R31" s="1567" t="s">
        <v>8</v>
      </c>
      <c r="S31" s="1568" t="e">
        <f t="shared" si="12"/>
        <v>#N/A</v>
      </c>
      <c r="T31" s="1567" t="s">
        <v>8</v>
      </c>
      <c r="U31" s="1568" t="e">
        <f t="shared" si="13"/>
        <v>#N/A</v>
      </c>
      <c r="V31" s="1567" t="s">
        <v>8</v>
      </c>
      <c r="W31" s="1568" t="e">
        <f t="shared" si="14"/>
        <v>#N/A</v>
      </c>
      <c r="X31" s="1569"/>
      <c r="Y31" s="3402"/>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2" t="s">
        <v>549</v>
      </c>
      <c r="Q32" s="1571" t="str">
        <f t="shared" si="11"/>
        <v>车位类型</v>
      </c>
      <c r="R32" s="1572" t="s">
        <v>8</v>
      </c>
      <c r="S32" s="1573">
        <f t="shared" si="12"/>
        <v>100</v>
      </c>
      <c r="T32" s="1572" t="s">
        <v>8</v>
      </c>
      <c r="U32" s="1573">
        <f t="shared" si="13"/>
        <v>100</v>
      </c>
      <c r="V32" s="1572" t="s">
        <v>8</v>
      </c>
      <c r="W32" s="1573">
        <f t="shared" si="14"/>
        <v>100</v>
      </c>
      <c r="X32" s="1566"/>
      <c r="Y32" s="3402"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2"/>
      <c r="Q33" s="1571" t="str">
        <f t="shared" si="11"/>
        <v>是否直接入户</v>
      </c>
      <c r="R33" s="1572" t="s">
        <v>8</v>
      </c>
      <c r="S33" s="1573">
        <f t="shared" si="12"/>
        <v>100</v>
      </c>
      <c r="T33" s="1572" t="s">
        <v>8</v>
      </c>
      <c r="U33" s="1573">
        <f t="shared" si="13"/>
        <v>100</v>
      </c>
      <c r="V33" s="1572" t="s">
        <v>8</v>
      </c>
      <c r="W33" s="1573">
        <f t="shared" si="14"/>
        <v>100</v>
      </c>
      <c r="X33" s="1566"/>
      <c r="Y33" s="3402"/>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2"/>
      <c r="Q35" s="1604">
        <f t="shared" si="11"/>
        <v>111</v>
      </c>
      <c r="R35" s="1576" t="s">
        <v>8</v>
      </c>
      <c r="S35" s="1577">
        <f t="shared" si="12"/>
        <v>100</v>
      </c>
      <c r="T35" s="1576" t="s">
        <v>8</v>
      </c>
      <c r="U35" s="1577">
        <f t="shared" si="13"/>
        <v>100</v>
      </c>
      <c r="V35" s="1576" t="s">
        <v>8</v>
      </c>
      <c r="W35" s="1577">
        <f t="shared" si="14"/>
        <v>100</v>
      </c>
      <c r="X35" s="1578"/>
      <c r="Y35" s="3402"/>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2"/>
      <c r="Q36" s="1571">
        <f t="shared" si="11"/>
        <v>111</v>
      </c>
      <c r="R36" s="1572" t="s">
        <v>8</v>
      </c>
      <c r="S36" s="1573">
        <f t="shared" si="12"/>
        <v>100</v>
      </c>
      <c r="T36" s="1572" t="s">
        <v>8</v>
      </c>
      <c r="U36" s="1573">
        <f t="shared" si="13"/>
        <v>100</v>
      </c>
      <c r="V36" s="1572" t="s">
        <v>8</v>
      </c>
      <c r="W36" s="1573">
        <f t="shared" si="14"/>
        <v>100</v>
      </c>
      <c r="X36" s="1566"/>
      <c r="Y36" s="3402"/>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65" t="str">
        <f>A37</f>
        <v>成交单价</v>
      </c>
      <c r="Q37" s="3365"/>
      <c r="R37" s="3479">
        <f>E37</f>
        <v>0</v>
      </c>
      <c r="S37" s="3479"/>
      <c r="T37" s="3479">
        <f>G37</f>
        <v>0</v>
      </c>
      <c r="U37" s="3479"/>
      <c r="V37" s="3479">
        <f>I37</f>
        <v>0</v>
      </c>
      <c r="W37" s="3479"/>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65" t="str">
        <f>A38</f>
        <v>比较价格（元/平方米）</v>
      </c>
      <c r="Q38" s="336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362" t="str">
        <f>A39</f>
        <v>估价对象XX用房的比较价格（楼面单价，元/平方米）</v>
      </c>
      <c r="Q39" s="3363"/>
      <c r="R39" s="3478" t="e">
        <f>IF(F1="售价",ROUND(AVERAGE(R38:V38),0),ROUND(AVERAGE(R38:V38),1))</f>
        <v>#DIV/0!</v>
      </c>
      <c r="S39" s="3478"/>
      <c r="T39" s="3478"/>
      <c r="U39" s="3478"/>
      <c r="V39" s="3478"/>
      <c r="W39" s="347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71" t="s">
        <v>797</v>
      </c>
      <c r="D4" s="3372"/>
      <c r="E4" s="3406" t="s">
        <v>798</v>
      </c>
      <c r="F4" s="3407"/>
      <c r="G4" s="3371" t="s">
        <v>799</v>
      </c>
      <c r="H4" s="3372"/>
      <c r="I4" s="3371" t="s">
        <v>800</v>
      </c>
      <c r="J4" s="3372"/>
      <c r="K4" s="514" t="s">
        <v>801</v>
      </c>
      <c r="L4" s="2133"/>
      <c r="M4" s="2134"/>
      <c r="N4" s="2134"/>
      <c r="O4" s="2134"/>
      <c r="P4" s="3373" t="s">
        <v>802</v>
      </c>
      <c r="Q4" s="3374"/>
      <c r="R4" s="3379" t="s">
        <v>798</v>
      </c>
      <c r="S4" s="3380"/>
      <c r="T4" s="3379" t="s">
        <v>799</v>
      </c>
      <c r="U4" s="3380"/>
      <c r="V4" s="3366" t="s">
        <v>800</v>
      </c>
      <c r="W4" s="3366"/>
      <c r="X4" s="1566"/>
      <c r="Y4" s="3379" t="s">
        <v>802</v>
      </c>
      <c r="Z4" s="3380"/>
      <c r="AA4" s="3368" t="s">
        <v>798</v>
      </c>
      <c r="AB4" s="3369" t="s">
        <v>799</v>
      </c>
      <c r="AC4" s="3368" t="s">
        <v>800</v>
      </c>
    </row>
    <row r="5" spans="1:29" ht="15">
      <c r="A5" s="515"/>
      <c r="B5" s="516"/>
      <c r="C5" s="3403" t="s">
        <v>2933</v>
      </c>
      <c r="D5" s="3388"/>
      <c r="E5" s="3408" t="s">
        <v>2934</v>
      </c>
      <c r="F5" s="3409"/>
      <c r="G5" s="3403" t="s">
        <v>2935</v>
      </c>
      <c r="H5" s="3388"/>
      <c r="I5" s="3403" t="s">
        <v>2936</v>
      </c>
      <c r="J5" s="3388"/>
      <c r="K5" s="514"/>
      <c r="L5" s="2133"/>
      <c r="M5" s="2134"/>
      <c r="N5" s="2134"/>
      <c r="O5" s="2134"/>
      <c r="P5" s="3375"/>
      <c r="Q5" s="3376"/>
      <c r="R5" s="3381"/>
      <c r="S5" s="3382"/>
      <c r="T5" s="3381"/>
      <c r="U5" s="3382"/>
      <c r="V5" s="3366"/>
      <c r="W5" s="3366"/>
      <c r="X5" s="1566"/>
      <c r="Y5" s="3381"/>
      <c r="Z5" s="3382"/>
      <c r="AA5" s="3369"/>
      <c r="AB5" s="3369"/>
      <c r="AC5" s="3369"/>
    </row>
    <row r="6" spans="1:29" ht="15.75" thickBot="1">
      <c r="A6" s="517"/>
      <c r="B6" s="518"/>
      <c r="C6" s="3385" t="s">
        <v>2937</v>
      </c>
      <c r="D6" s="3386"/>
      <c r="E6" s="3404" t="s">
        <v>2937</v>
      </c>
      <c r="F6" s="3405"/>
      <c r="G6" s="3385" t="s">
        <v>2937</v>
      </c>
      <c r="H6" s="3386"/>
      <c r="I6" s="3385" t="s">
        <v>2937</v>
      </c>
      <c r="J6" s="3386"/>
      <c r="K6" s="514" t="s">
        <v>527</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6" t="s">
        <v>529</v>
      </c>
      <c r="Q7" s="3398"/>
      <c r="R7" s="1567" t="s">
        <v>8</v>
      </c>
      <c r="S7" s="1568">
        <f t="shared" ref="S7:S14" si="0">F7</f>
        <v>0</v>
      </c>
      <c r="T7" s="1567" t="s">
        <v>8</v>
      </c>
      <c r="U7" s="1568">
        <f t="shared" ref="U7:U14" si="1">H7</f>
        <v>0</v>
      </c>
      <c r="V7" s="1567" t="s">
        <v>8</v>
      </c>
      <c r="W7" s="1568">
        <f t="shared" ref="W7:W14" si="2">J7</f>
        <v>0</v>
      </c>
      <c r="X7" s="1569"/>
      <c r="Y7" s="3396" t="s">
        <v>529</v>
      </c>
      <c r="Z7" s="3397"/>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5" t="s">
        <v>534</v>
      </c>
      <c r="Q9" s="1150" t="str">
        <f t="shared" ref="Q9:Q14" si="6">B9</f>
        <v>用途</v>
      </c>
      <c r="R9" s="1567" t="s">
        <v>8</v>
      </c>
      <c r="S9" s="1568">
        <f t="shared" si="0"/>
        <v>100</v>
      </c>
      <c r="T9" s="1567" t="s">
        <v>8</v>
      </c>
      <c r="U9" s="1568">
        <f t="shared" si="1"/>
        <v>100</v>
      </c>
      <c r="V9" s="1567" t="s">
        <v>8</v>
      </c>
      <c r="W9" s="1568">
        <f t="shared" si="2"/>
        <v>100</v>
      </c>
      <c r="X9" s="1569"/>
      <c r="Y9" s="3311"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5"/>
      <c r="Q11" s="1150">
        <f t="shared" si="6"/>
        <v>111</v>
      </c>
      <c r="R11" s="1567" t="s">
        <v>8</v>
      </c>
      <c r="S11" s="1568">
        <f t="shared" si="0"/>
        <v>100</v>
      </c>
      <c r="T11" s="1567" t="s">
        <v>8</v>
      </c>
      <c r="U11" s="1568">
        <f t="shared" si="1"/>
        <v>100</v>
      </c>
      <c r="V11" s="1567" t="s">
        <v>8</v>
      </c>
      <c r="W11" s="1568">
        <f t="shared" si="2"/>
        <v>100</v>
      </c>
      <c r="X11" s="1569"/>
      <c r="Y11" s="3311"/>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9" t="s">
        <v>539</v>
      </c>
      <c r="Q14" s="1571" t="str">
        <f t="shared" si="6"/>
        <v>交通便捷度</v>
      </c>
      <c r="R14" s="1572" t="s">
        <v>8</v>
      </c>
      <c r="S14" s="1573">
        <f t="shared" si="0"/>
        <v>100</v>
      </c>
      <c r="T14" s="1572" t="s">
        <v>8</v>
      </c>
      <c r="U14" s="1573">
        <f t="shared" si="1"/>
        <v>100</v>
      </c>
      <c r="V14" s="1572" t="s">
        <v>8</v>
      </c>
      <c r="W14" s="1573">
        <f t="shared" si="2"/>
        <v>100</v>
      </c>
      <c r="X14" s="1566"/>
      <c r="Y14" s="3399"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00"/>
      <c r="Q15" s="1571"/>
      <c r="R15" s="1572"/>
      <c r="S15" s="1573"/>
      <c r="T15" s="1572"/>
      <c r="U15" s="1573"/>
      <c r="V15" s="1572"/>
      <c r="W15" s="1573"/>
      <c r="X15" s="1566"/>
      <c r="Y15" s="3400"/>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00"/>
      <c r="Q17" s="1571"/>
      <c r="R17" s="1572"/>
      <c r="S17" s="1573"/>
      <c r="T17" s="1572"/>
      <c r="U17" s="1573"/>
      <c r="V17" s="1572"/>
      <c r="W17" s="1573"/>
      <c r="X17" s="1566"/>
      <c r="Y17" s="3400"/>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0"/>
      <c r="Q18" s="2579" t="str">
        <f>B18</f>
        <v>基础设施水平</v>
      </c>
      <c r="R18" s="1572" t="s">
        <v>8</v>
      </c>
      <c r="S18" s="1573">
        <f>F18</f>
        <v>100</v>
      </c>
      <c r="T18" s="1572" t="s">
        <v>8</v>
      </c>
      <c r="U18" s="1573">
        <f>H18</f>
        <v>100</v>
      </c>
      <c r="V18" s="1572" t="s">
        <v>8</v>
      </c>
      <c r="W18" s="1573">
        <f>J18</f>
        <v>100</v>
      </c>
      <c r="X18" s="2581"/>
      <c r="Y18" s="3400"/>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00"/>
      <c r="Q19" s="2579"/>
      <c r="R19" s="1572"/>
      <c r="S19" s="1573"/>
      <c r="T19" s="1572"/>
      <c r="U19" s="1573"/>
      <c r="V19" s="1572"/>
      <c r="W19" s="1573"/>
      <c r="X19" s="2581"/>
      <c r="Y19" s="3400"/>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0"/>
      <c r="Q24" s="1571">
        <f t="shared" ref="Q24:Q34"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1"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2"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2"/>
      <c r="Q27" s="1604" t="str">
        <f t="shared" si="11"/>
        <v>成新率</v>
      </c>
      <c r="R27" s="1576" t="s">
        <v>8</v>
      </c>
      <c r="S27" s="1577" t="e">
        <f t="shared" si="12"/>
        <v>#N/A</v>
      </c>
      <c r="T27" s="1576" t="s">
        <v>8</v>
      </c>
      <c r="U27" s="1577" t="e">
        <f t="shared" si="13"/>
        <v>#N/A</v>
      </c>
      <c r="V27" s="1576" t="s">
        <v>8</v>
      </c>
      <c r="W27" s="1577" t="e">
        <f t="shared" si="14"/>
        <v>#N/A</v>
      </c>
      <c r="X27" s="1578"/>
      <c r="Y27" s="3402"/>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2"/>
      <c r="Q28" s="1571" t="str">
        <f t="shared" si="11"/>
        <v>物业等级</v>
      </c>
      <c r="R28" s="1572" t="s">
        <v>8</v>
      </c>
      <c r="S28" s="1573">
        <f t="shared" si="12"/>
        <v>100</v>
      </c>
      <c r="T28" s="1572" t="s">
        <v>8</v>
      </c>
      <c r="U28" s="1573">
        <f t="shared" si="13"/>
        <v>100</v>
      </c>
      <c r="V28" s="1572" t="s">
        <v>8</v>
      </c>
      <c r="W28" s="1573">
        <f t="shared" si="14"/>
        <v>100</v>
      </c>
      <c r="X28" s="1566"/>
      <c r="Y28" s="3402"/>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2"/>
      <c r="Q29" s="1571" t="str">
        <f t="shared" si="11"/>
        <v>有无电梯</v>
      </c>
      <c r="R29" s="1572" t="s">
        <v>8</v>
      </c>
      <c r="S29" s="1573">
        <f t="shared" si="12"/>
        <v>100</v>
      </c>
      <c r="T29" s="1572" t="s">
        <v>8</v>
      </c>
      <c r="U29" s="1573">
        <f t="shared" si="13"/>
        <v>100</v>
      </c>
      <c r="V29" s="1572" t="s">
        <v>8</v>
      </c>
      <c r="W29" s="1573">
        <f t="shared" si="14"/>
        <v>100</v>
      </c>
      <c r="X29" s="1566"/>
      <c r="Y29" s="3402"/>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2"/>
      <c r="Q30" s="1571" t="str">
        <f t="shared" si="11"/>
        <v>建筑面积</v>
      </c>
      <c r="R30" s="1572" t="s">
        <v>8</v>
      </c>
      <c r="S30" s="1573" t="e">
        <f t="shared" si="12"/>
        <v>#N/A</v>
      </c>
      <c r="T30" s="1572" t="s">
        <v>8</v>
      </c>
      <c r="U30" s="1573" t="e">
        <f t="shared" si="13"/>
        <v>#N/A</v>
      </c>
      <c r="V30" s="1572" t="s">
        <v>8</v>
      </c>
      <c r="W30" s="1573" t="e">
        <f t="shared" si="14"/>
        <v>#N/A</v>
      </c>
      <c r="X30" s="1566"/>
      <c r="Y30" s="3402"/>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2"/>
      <c r="Q31" s="1150" t="str">
        <f t="shared" si="11"/>
        <v>是否封闭</v>
      </c>
      <c r="R31" s="1567" t="s">
        <v>8</v>
      </c>
      <c r="S31" s="1568">
        <f t="shared" si="12"/>
        <v>100</v>
      </c>
      <c r="T31" s="1567" t="s">
        <v>8</v>
      </c>
      <c r="U31" s="1568">
        <f t="shared" si="13"/>
        <v>100</v>
      </c>
      <c r="V31" s="1567" t="s">
        <v>8</v>
      </c>
      <c r="W31" s="1568">
        <f t="shared" si="14"/>
        <v>100</v>
      </c>
      <c r="X31" s="1569"/>
      <c r="Y31" s="3402"/>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2" t="s">
        <v>549</v>
      </c>
      <c r="Q32" s="1571">
        <f t="shared" si="11"/>
        <v>111</v>
      </c>
      <c r="R32" s="1572" t="s">
        <v>8</v>
      </c>
      <c r="S32" s="1573">
        <f t="shared" si="12"/>
        <v>100</v>
      </c>
      <c r="T32" s="1572" t="s">
        <v>8</v>
      </c>
      <c r="U32" s="1573">
        <f t="shared" si="13"/>
        <v>100</v>
      </c>
      <c r="V32" s="1572" t="s">
        <v>8</v>
      </c>
      <c r="W32" s="1573">
        <f t="shared" si="14"/>
        <v>100</v>
      </c>
      <c r="X32" s="1566"/>
      <c r="Y32" s="3402"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2"/>
      <c r="Q33" s="1571">
        <f t="shared" si="11"/>
        <v>111</v>
      </c>
      <c r="R33" s="1572" t="s">
        <v>8</v>
      </c>
      <c r="S33" s="1573">
        <f t="shared" si="12"/>
        <v>100</v>
      </c>
      <c r="T33" s="1572" t="s">
        <v>8</v>
      </c>
      <c r="U33" s="1573">
        <f t="shared" si="13"/>
        <v>100</v>
      </c>
      <c r="V33" s="1572" t="s">
        <v>8</v>
      </c>
      <c r="W33" s="1573">
        <f t="shared" si="14"/>
        <v>100</v>
      </c>
      <c r="X33" s="1566"/>
      <c r="Y33" s="3402"/>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65" t="str">
        <f>A35</f>
        <v>成交单价（元/平方米）</v>
      </c>
      <c r="Q35" s="3365"/>
      <c r="R35" s="3479">
        <f>E35</f>
        <v>0</v>
      </c>
      <c r="S35" s="3479"/>
      <c r="T35" s="3479">
        <f>G35</f>
        <v>0</v>
      </c>
      <c r="U35" s="3479"/>
      <c r="V35" s="3479">
        <f>I35</f>
        <v>0</v>
      </c>
      <c r="W35" s="3479"/>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65" t="str">
        <f>A36</f>
        <v>比较价格（元/平方米）</v>
      </c>
      <c r="Q36" s="336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362" t="str">
        <f>A37</f>
        <v>估价对象XX用房的比较价格（楼面单价，元/平方米）</v>
      </c>
      <c r="Q37" s="3363"/>
      <c r="R37" s="3478" t="e">
        <f>IF(F1="售价",ROUND(AVERAGE(R36:V36),0),ROUND(AVERAGE(R36:V36),1))</f>
        <v>#DIV/0!</v>
      </c>
      <c r="S37" s="3478"/>
      <c r="T37" s="3478"/>
      <c r="U37" s="3478"/>
      <c r="V37" s="3478"/>
      <c r="W37" s="347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89" t="s">
        <v>2306</v>
      </c>
      <c r="D1" s="3490"/>
      <c r="E1" s="3490"/>
      <c r="F1" s="3490"/>
      <c r="G1" s="3490"/>
      <c r="H1" s="3490"/>
      <c r="I1" s="3490"/>
      <c r="J1" s="3490"/>
      <c r="K1" s="3490"/>
      <c r="L1" s="3490"/>
      <c r="M1" s="3490"/>
      <c r="N1" s="3490"/>
      <c r="O1" s="3490"/>
      <c r="P1" s="3490"/>
      <c r="Q1" s="3490"/>
      <c r="R1" s="3490"/>
      <c r="S1" s="3491"/>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3.5"/>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10" workbookViewId="0">
      <selection activeCell="C2" sqref="C2"/>
    </sheetView>
  </sheetViews>
  <sheetFormatPr defaultRowHeight="13.5"/>
  <cols>
    <col min="1" max="1" width="14.375" customWidth="1"/>
    <col min="6" max="6" width="16.5" customWidth="1"/>
    <col min="8" max="8" width="12.25" customWidth="1"/>
  </cols>
  <sheetData>
    <row r="1" spans="1:15" s="2939" customFormat="1">
      <c r="A1" s="2939" t="s">
        <v>3030</v>
      </c>
      <c r="B1" s="2939" t="s">
        <v>3031</v>
      </c>
      <c r="C1" s="2939" t="s">
        <v>3032</v>
      </c>
      <c r="D1" s="2939" t="s">
        <v>3033</v>
      </c>
      <c r="E1" s="2939" t="s">
        <v>3034</v>
      </c>
      <c r="F1" s="2939" t="s">
        <v>2034</v>
      </c>
      <c r="G1" s="2939" t="s">
        <v>3035</v>
      </c>
      <c r="H1" s="2939" t="s">
        <v>3036</v>
      </c>
      <c r="I1" s="2939" t="s">
        <v>3037</v>
      </c>
      <c r="K1" s="2939" t="s">
        <v>3038</v>
      </c>
      <c r="L1" s="3182" t="s">
        <v>3039</v>
      </c>
      <c r="M1" s="2939" t="s">
        <v>3040</v>
      </c>
      <c r="N1" s="2939" t="s">
        <v>3041</v>
      </c>
      <c r="O1" s="2939" t="s">
        <v>3042</v>
      </c>
    </row>
    <row r="2" spans="1:15" s="2939" customFormat="1">
      <c r="A2" s="2939" t="s">
        <v>3043</v>
      </c>
      <c r="B2" s="2939" t="s">
        <v>3044</v>
      </c>
      <c r="C2" s="2939" t="s">
        <v>3045</v>
      </c>
      <c r="D2" s="2939">
        <v>4964</v>
      </c>
      <c r="E2" s="2939">
        <v>5460.4</v>
      </c>
      <c r="F2" s="2939" t="s">
        <v>3046</v>
      </c>
      <c r="G2" s="2939" t="s">
        <v>3047</v>
      </c>
      <c r="H2" s="2939" t="s">
        <v>3048</v>
      </c>
      <c r="I2" s="2939">
        <v>1267</v>
      </c>
      <c r="J2" s="2939">
        <f t="shared" ref="J2:J33" si="0">ROUND(K2*10000/D2,0)</f>
        <v>2552</v>
      </c>
      <c r="K2" s="2939">
        <v>1267</v>
      </c>
      <c r="L2" s="2939">
        <f>J2</f>
        <v>2552</v>
      </c>
      <c r="M2" s="2939">
        <v>2320.34</v>
      </c>
      <c r="N2" s="2939">
        <v>0</v>
      </c>
      <c r="O2" s="2939" t="s">
        <v>3049</v>
      </c>
    </row>
    <row r="3" spans="1:15" s="2939" customFormat="1">
      <c r="A3" s="2939" t="s">
        <v>3050</v>
      </c>
      <c r="B3" s="2939" t="s">
        <v>3044</v>
      </c>
      <c r="C3" s="2939" t="s">
        <v>3045</v>
      </c>
      <c r="D3" s="2939">
        <v>11816</v>
      </c>
      <c r="E3" s="2939">
        <v>12997.6</v>
      </c>
      <c r="F3" s="2939" t="s">
        <v>3046</v>
      </c>
      <c r="G3" s="2939" t="s">
        <v>3047</v>
      </c>
      <c r="H3" s="2939" t="s">
        <v>3048</v>
      </c>
      <c r="I3" s="2939">
        <v>3012</v>
      </c>
      <c r="J3" s="2939">
        <f t="shared" si="0"/>
        <v>2549</v>
      </c>
      <c r="K3" s="2939">
        <v>3012</v>
      </c>
      <c r="L3" s="2939">
        <f t="shared" ref="L3:L51" si="1">J3</f>
        <v>2549</v>
      </c>
      <c r="M3" s="2939">
        <v>2317.34</v>
      </c>
      <c r="N3" s="2939">
        <v>0</v>
      </c>
      <c r="O3" s="2939" t="s">
        <v>3049</v>
      </c>
    </row>
    <row r="4" spans="1:15" s="2939" customFormat="1">
      <c r="A4" s="2939" t="s">
        <v>3051</v>
      </c>
      <c r="B4" s="2939" t="s">
        <v>3044</v>
      </c>
      <c r="C4" s="2939" t="s">
        <v>3045</v>
      </c>
      <c r="D4" s="2939">
        <v>53892</v>
      </c>
      <c r="E4" s="2939">
        <v>296406</v>
      </c>
      <c r="F4" s="2939" t="s">
        <v>3052</v>
      </c>
      <c r="G4" s="2939" t="s">
        <v>3047</v>
      </c>
      <c r="H4" s="2939" t="s">
        <v>3048</v>
      </c>
      <c r="I4" s="2939">
        <v>8084</v>
      </c>
      <c r="J4" s="2939">
        <f t="shared" si="0"/>
        <v>1500</v>
      </c>
      <c r="K4" s="2939">
        <v>8084</v>
      </c>
      <c r="L4" s="2939">
        <f t="shared" si="1"/>
        <v>1500</v>
      </c>
      <c r="M4" s="2939">
        <v>272.73</v>
      </c>
      <c r="N4" s="2939">
        <v>0</v>
      </c>
      <c r="O4" s="2939" t="s">
        <v>3053</v>
      </c>
    </row>
    <row r="5" spans="1:15" s="2939" customFormat="1">
      <c r="A5" s="2939" t="s">
        <v>3054</v>
      </c>
      <c r="B5" s="2939" t="s">
        <v>3044</v>
      </c>
      <c r="C5" s="2939" t="s">
        <v>3045</v>
      </c>
      <c r="D5" s="2939">
        <v>39893</v>
      </c>
      <c r="E5" s="2939">
        <v>43882.3</v>
      </c>
      <c r="F5" s="2939" t="s">
        <v>3046</v>
      </c>
      <c r="G5" s="2939" t="s">
        <v>3047</v>
      </c>
      <c r="H5" s="2939" t="s">
        <v>3048</v>
      </c>
      <c r="I5" s="2939">
        <v>3890</v>
      </c>
      <c r="J5" s="2939">
        <f t="shared" si="0"/>
        <v>975</v>
      </c>
      <c r="K5" s="2939">
        <v>3890</v>
      </c>
      <c r="L5" s="2939">
        <f t="shared" si="1"/>
        <v>975</v>
      </c>
      <c r="M5" s="2939">
        <v>886.46</v>
      </c>
      <c r="N5" s="2939">
        <v>0</v>
      </c>
      <c r="O5" s="2939" t="s">
        <v>3055</v>
      </c>
    </row>
    <row r="6" spans="1:15" s="2939" customFormat="1">
      <c r="A6" s="2939" t="s">
        <v>3056</v>
      </c>
      <c r="B6" s="2939" t="s">
        <v>3044</v>
      </c>
      <c r="C6" s="2939" t="s">
        <v>3045</v>
      </c>
      <c r="D6" s="2939">
        <v>1697</v>
      </c>
      <c r="E6" s="2939">
        <v>1866.7</v>
      </c>
      <c r="F6" s="2939" t="s">
        <v>3046</v>
      </c>
      <c r="G6" s="2939" t="s">
        <v>3047</v>
      </c>
      <c r="H6" s="2939" t="s">
        <v>3048</v>
      </c>
      <c r="I6" s="2939">
        <v>434</v>
      </c>
      <c r="J6" s="2939">
        <f t="shared" si="0"/>
        <v>2557</v>
      </c>
      <c r="K6" s="2939">
        <v>434</v>
      </c>
      <c r="L6" s="2939">
        <f t="shared" si="1"/>
        <v>2557</v>
      </c>
      <c r="M6" s="2939">
        <v>2324.96</v>
      </c>
      <c r="N6" s="2939">
        <v>0</v>
      </c>
      <c r="O6" s="2939" t="s">
        <v>3049</v>
      </c>
    </row>
    <row r="7" spans="1:15" s="3183" customFormat="1">
      <c r="A7" s="3183" t="s">
        <v>3057</v>
      </c>
      <c r="B7" s="3183" t="s">
        <v>3044</v>
      </c>
      <c r="C7" s="3183" t="s">
        <v>3045</v>
      </c>
      <c r="D7" s="3183">
        <v>11251</v>
      </c>
      <c r="E7" s="3183">
        <v>11813.55</v>
      </c>
      <c r="F7" s="3183" t="s">
        <v>3058</v>
      </c>
      <c r="G7" s="3183" t="s">
        <v>3047</v>
      </c>
      <c r="H7" s="3183" t="s">
        <v>3048</v>
      </c>
      <c r="I7" s="3183">
        <v>1013</v>
      </c>
      <c r="J7" s="3183">
        <f t="shared" si="0"/>
        <v>900</v>
      </c>
      <c r="K7" s="3183">
        <v>1013</v>
      </c>
      <c r="L7" s="3183">
        <f t="shared" si="1"/>
        <v>900</v>
      </c>
      <c r="M7" s="3183">
        <v>857.49</v>
      </c>
      <c r="N7" s="3183">
        <v>0</v>
      </c>
      <c r="O7" s="3183" t="s">
        <v>3059</v>
      </c>
    </row>
    <row r="8" spans="1:15" s="2939" customFormat="1">
      <c r="A8" s="2939" t="s">
        <v>3060</v>
      </c>
      <c r="B8" s="2939" t="s">
        <v>3044</v>
      </c>
      <c r="C8" s="2939" t="s">
        <v>3045</v>
      </c>
      <c r="D8" s="2939">
        <v>7579</v>
      </c>
      <c r="E8" s="2939">
        <v>8336.9</v>
      </c>
      <c r="F8" s="2939" t="s">
        <v>3046</v>
      </c>
      <c r="G8" s="2939" t="s">
        <v>3047</v>
      </c>
      <c r="H8" s="2939" t="s">
        <v>3048</v>
      </c>
      <c r="I8" s="2939">
        <v>1933</v>
      </c>
      <c r="J8" s="2939">
        <f t="shared" si="0"/>
        <v>2550</v>
      </c>
      <c r="K8" s="2939">
        <v>1933</v>
      </c>
      <c r="L8" s="2939">
        <f t="shared" si="1"/>
        <v>2550</v>
      </c>
      <c r="M8" s="2939">
        <v>2318.61</v>
      </c>
      <c r="N8" s="2939">
        <v>0</v>
      </c>
      <c r="O8" s="2939" t="s">
        <v>3049</v>
      </c>
    </row>
    <row r="9" spans="1:15" s="2939" customFormat="1">
      <c r="A9" s="2939" t="s">
        <v>3061</v>
      </c>
      <c r="B9" s="2939" t="s">
        <v>3044</v>
      </c>
      <c r="C9" s="2939" t="s">
        <v>3045</v>
      </c>
      <c r="D9" s="2939">
        <v>407</v>
      </c>
      <c r="E9" s="2939">
        <v>447.7</v>
      </c>
      <c r="F9" s="2939" t="s">
        <v>3046</v>
      </c>
      <c r="G9" s="2939" t="s">
        <v>3047</v>
      </c>
      <c r="H9" s="2939" t="s">
        <v>3048</v>
      </c>
      <c r="I9" s="2939">
        <v>104</v>
      </c>
      <c r="J9" s="2939">
        <f t="shared" si="0"/>
        <v>2555</v>
      </c>
      <c r="K9" s="2939">
        <v>104</v>
      </c>
      <c r="L9" s="2939">
        <f t="shared" si="1"/>
        <v>2555</v>
      </c>
      <c r="M9" s="2939">
        <v>2322.98</v>
      </c>
      <c r="N9" s="2939">
        <v>0</v>
      </c>
      <c r="O9" s="2939" t="s">
        <v>3049</v>
      </c>
    </row>
    <row r="10" spans="1:15" s="3183" customFormat="1">
      <c r="A10" s="3193" t="s">
        <v>3136</v>
      </c>
      <c r="B10" s="3183" t="s">
        <v>3044</v>
      </c>
      <c r="C10" s="3183" t="s">
        <v>3045</v>
      </c>
      <c r="D10" s="3183">
        <v>780</v>
      </c>
      <c r="E10" s="3183">
        <v>1248</v>
      </c>
      <c r="F10" s="3183" t="s">
        <v>3062</v>
      </c>
      <c r="G10" s="3183" t="s">
        <v>3047</v>
      </c>
      <c r="H10" s="3183" t="s">
        <v>3048</v>
      </c>
      <c r="I10" s="3183">
        <v>171</v>
      </c>
      <c r="J10" s="3183">
        <f t="shared" si="0"/>
        <v>2192</v>
      </c>
      <c r="K10" s="3183">
        <v>171</v>
      </c>
      <c r="L10" s="3183">
        <f t="shared" si="1"/>
        <v>2192</v>
      </c>
      <c r="M10" s="3183">
        <v>1370.19</v>
      </c>
      <c r="N10" s="3183">
        <v>0</v>
      </c>
      <c r="O10" s="3183" t="s">
        <v>3063</v>
      </c>
    </row>
    <row r="11" spans="1:15" s="3184" customFormat="1" ht="12.75">
      <c r="A11" s="3184" t="s">
        <v>3064</v>
      </c>
      <c r="B11" s="3184" t="s">
        <v>3044</v>
      </c>
      <c r="C11" s="3184" t="s">
        <v>3045</v>
      </c>
      <c r="D11" s="3184">
        <v>2440</v>
      </c>
      <c r="E11" s="3184">
        <v>7320</v>
      </c>
      <c r="F11" s="3184" t="s">
        <v>3065</v>
      </c>
      <c r="G11" s="3184" t="s">
        <v>3047</v>
      </c>
      <c r="H11" s="3184" t="s">
        <v>3066</v>
      </c>
      <c r="I11" s="3184">
        <v>2928</v>
      </c>
      <c r="J11" s="3184">
        <f t="shared" si="0"/>
        <v>12000</v>
      </c>
      <c r="K11" s="3184">
        <v>2928</v>
      </c>
      <c r="L11" s="3184">
        <f t="shared" si="1"/>
        <v>12000</v>
      </c>
      <c r="M11" s="3184">
        <v>4000</v>
      </c>
      <c r="N11" s="3184">
        <v>0</v>
      </c>
      <c r="O11" s="3184" t="s">
        <v>3067</v>
      </c>
    </row>
    <row r="12" spans="1:15" s="2939" customFormat="1">
      <c r="A12" s="2939" t="s">
        <v>3068</v>
      </c>
      <c r="B12" s="2939" t="s">
        <v>3044</v>
      </c>
      <c r="C12" s="2939" t="s">
        <v>3045</v>
      </c>
      <c r="D12" s="2939">
        <v>7748</v>
      </c>
      <c r="E12" s="2939">
        <v>19370</v>
      </c>
      <c r="F12" s="2939" t="s">
        <v>3069</v>
      </c>
      <c r="G12" s="2939" t="s">
        <v>3047</v>
      </c>
      <c r="H12" s="2939" t="s">
        <v>3066</v>
      </c>
      <c r="I12" s="2939">
        <v>11620</v>
      </c>
      <c r="J12" s="2939">
        <f t="shared" si="0"/>
        <v>14997</v>
      </c>
      <c r="K12" s="2939">
        <v>11620</v>
      </c>
      <c r="L12" s="2939">
        <f t="shared" si="1"/>
        <v>14997</v>
      </c>
      <c r="M12" s="2939">
        <v>5998.97</v>
      </c>
      <c r="N12" s="2939">
        <v>0</v>
      </c>
      <c r="O12" s="2939" t="s">
        <v>3070</v>
      </c>
    </row>
    <row r="13" spans="1:15" s="2939" customFormat="1">
      <c r="A13" s="2939" t="s">
        <v>3071</v>
      </c>
      <c r="B13" s="2939" t="s">
        <v>3044</v>
      </c>
      <c r="C13" s="2939" t="s">
        <v>3045</v>
      </c>
      <c r="D13" s="2939">
        <v>117</v>
      </c>
      <c r="E13" s="2939">
        <v>222.3</v>
      </c>
      <c r="F13" s="2939" t="s">
        <v>3072</v>
      </c>
      <c r="G13" s="2939" t="s">
        <v>3047</v>
      </c>
      <c r="H13" s="2939" t="s">
        <v>3066</v>
      </c>
      <c r="I13" s="2939">
        <v>81</v>
      </c>
      <c r="J13" s="2939">
        <f t="shared" si="0"/>
        <v>6940</v>
      </c>
      <c r="K13" s="2939">
        <v>81.2</v>
      </c>
      <c r="L13" s="2939">
        <f t="shared" si="1"/>
        <v>6940</v>
      </c>
      <c r="M13" s="2939">
        <v>3652.71</v>
      </c>
      <c r="N13" s="2939">
        <v>0.25</v>
      </c>
      <c r="O13" s="2939" t="s">
        <v>3073</v>
      </c>
    </row>
    <row r="14" spans="1:15" s="2939" customFormat="1">
      <c r="A14" s="2939" t="s">
        <v>3074</v>
      </c>
      <c r="B14" s="2939" t="s">
        <v>3044</v>
      </c>
      <c r="C14" s="2939" t="s">
        <v>3045</v>
      </c>
      <c r="D14" s="2939">
        <v>45781</v>
      </c>
      <c r="E14" s="2939">
        <v>82405.8</v>
      </c>
      <c r="F14" s="2939" t="s">
        <v>3075</v>
      </c>
      <c r="G14" s="2939" t="s">
        <v>3047</v>
      </c>
      <c r="H14" s="2939" t="s">
        <v>3066</v>
      </c>
      <c r="I14" s="2939">
        <v>32962</v>
      </c>
      <c r="J14" s="2939">
        <f t="shared" si="0"/>
        <v>7309</v>
      </c>
      <c r="K14" s="2939">
        <v>33462</v>
      </c>
      <c r="L14" s="2939">
        <f t="shared" si="1"/>
        <v>7309</v>
      </c>
      <c r="M14" s="2939">
        <v>4060.63</v>
      </c>
      <c r="N14" s="2939">
        <v>1.52</v>
      </c>
      <c r="O14" s="2939" t="s">
        <v>3076</v>
      </c>
    </row>
    <row r="15" spans="1:15" s="2939" customFormat="1">
      <c r="A15" s="2939" t="s">
        <v>3077</v>
      </c>
      <c r="B15" s="2939" t="s">
        <v>3044</v>
      </c>
      <c r="C15" s="2939" t="s">
        <v>3045</v>
      </c>
      <c r="D15" s="2939">
        <v>38731</v>
      </c>
      <c r="E15" s="2939">
        <v>69715.8</v>
      </c>
      <c r="F15" s="2939" t="s">
        <v>3075</v>
      </c>
      <c r="G15" s="2939" t="s">
        <v>3047</v>
      </c>
      <c r="H15" s="2939" t="s">
        <v>3066</v>
      </c>
      <c r="I15" s="2939">
        <v>27888</v>
      </c>
      <c r="J15" s="2939">
        <f t="shared" si="0"/>
        <v>7355</v>
      </c>
      <c r="K15" s="2939">
        <v>28488</v>
      </c>
      <c r="L15" s="2939">
        <f t="shared" si="1"/>
        <v>7355</v>
      </c>
      <c r="M15" s="2939">
        <v>4086.3</v>
      </c>
      <c r="N15" s="2939">
        <v>2.15</v>
      </c>
      <c r="O15" s="2939" t="s">
        <v>3078</v>
      </c>
    </row>
    <row r="16" spans="1:15" s="3185" customFormat="1">
      <c r="A16" s="3186" t="s">
        <v>3137</v>
      </c>
      <c r="B16" s="3185" t="s">
        <v>3044</v>
      </c>
      <c r="C16" s="3185" t="s">
        <v>3045</v>
      </c>
      <c r="D16" s="3185">
        <v>16514</v>
      </c>
      <c r="E16" s="3185">
        <v>18165.400000000001</v>
      </c>
      <c r="F16" s="3185" t="s">
        <v>3046</v>
      </c>
      <c r="G16" s="3185" t="s">
        <v>3047</v>
      </c>
      <c r="H16" s="3185" t="s">
        <v>3079</v>
      </c>
      <c r="I16" s="3185">
        <v>2477</v>
      </c>
      <c r="J16" s="2939">
        <f t="shared" si="0"/>
        <v>1500</v>
      </c>
      <c r="K16" s="3185">
        <v>2477</v>
      </c>
      <c r="L16" s="2939">
        <f t="shared" si="1"/>
        <v>1500</v>
      </c>
      <c r="M16" s="3185">
        <v>1363.57</v>
      </c>
      <c r="N16" s="3185">
        <v>0</v>
      </c>
      <c r="O16" s="3185" t="s">
        <v>3080</v>
      </c>
    </row>
    <row r="17" spans="1:15" s="2939" customFormat="1">
      <c r="A17" s="2939" t="s">
        <v>3081</v>
      </c>
      <c r="B17" s="2939" t="s">
        <v>3044</v>
      </c>
      <c r="C17" s="2939" t="s">
        <v>3045</v>
      </c>
      <c r="D17" s="2939">
        <v>68196</v>
      </c>
      <c r="E17" s="2939">
        <v>136392</v>
      </c>
      <c r="F17" s="2939" t="s">
        <v>3082</v>
      </c>
      <c r="G17" s="2939" t="s">
        <v>3047</v>
      </c>
      <c r="H17" s="2939" t="s">
        <v>3083</v>
      </c>
      <c r="I17" s="2939">
        <v>22504</v>
      </c>
      <c r="J17" s="2939">
        <f t="shared" si="0"/>
        <v>3300</v>
      </c>
      <c r="K17" s="2939">
        <v>22504</v>
      </c>
      <c r="L17" s="2939">
        <f t="shared" si="1"/>
        <v>3300</v>
      </c>
      <c r="M17" s="2939">
        <v>1649.95</v>
      </c>
      <c r="N17" s="2939">
        <v>0</v>
      </c>
      <c r="O17" s="2939" t="s">
        <v>3084</v>
      </c>
    </row>
    <row r="18" spans="1:15" s="2939" customFormat="1">
      <c r="A18" s="2939" t="s">
        <v>3081</v>
      </c>
      <c r="B18" s="2939" t="s">
        <v>3044</v>
      </c>
      <c r="C18" s="2939" t="s">
        <v>3045</v>
      </c>
      <c r="D18" s="2939">
        <v>54838</v>
      </c>
      <c r="E18" s="2939">
        <v>109676</v>
      </c>
      <c r="F18" s="2939" t="s">
        <v>3082</v>
      </c>
      <c r="G18" s="2939" t="s">
        <v>3047</v>
      </c>
      <c r="H18" s="2939" t="s">
        <v>3083</v>
      </c>
      <c r="I18" s="2939">
        <v>18097</v>
      </c>
      <c r="J18" s="2939">
        <f t="shared" si="0"/>
        <v>3300</v>
      </c>
      <c r="K18" s="2939">
        <v>18097</v>
      </c>
      <c r="L18" s="2939">
        <f t="shared" si="1"/>
        <v>3300</v>
      </c>
      <c r="M18" s="2939">
        <v>1650.03</v>
      </c>
      <c r="N18" s="2939">
        <v>0</v>
      </c>
      <c r="O18" s="2939" t="s">
        <v>3084</v>
      </c>
    </row>
    <row r="19" spans="1:15" s="3183" customFormat="1">
      <c r="A19" s="3183" t="s">
        <v>3081</v>
      </c>
      <c r="B19" s="3183" t="s">
        <v>3044</v>
      </c>
      <c r="C19" s="3183" t="s">
        <v>3045</v>
      </c>
      <c r="D19" s="3183">
        <v>68481</v>
      </c>
      <c r="E19" s="3183">
        <v>136962</v>
      </c>
      <c r="F19" s="3183" t="s">
        <v>3082</v>
      </c>
      <c r="G19" s="3183" t="s">
        <v>3047</v>
      </c>
      <c r="H19" s="3183" t="s">
        <v>3083</v>
      </c>
      <c r="I19" s="3183">
        <v>22598</v>
      </c>
      <c r="J19" s="3183">
        <f t="shared" si="0"/>
        <v>3300</v>
      </c>
      <c r="K19" s="3183">
        <v>22598</v>
      </c>
      <c r="L19" s="3183">
        <f t="shared" si="1"/>
        <v>3300</v>
      </c>
      <c r="M19" s="3183">
        <v>1649.95</v>
      </c>
      <c r="N19" s="3183">
        <v>0</v>
      </c>
      <c r="O19" s="3183" t="s">
        <v>3084</v>
      </c>
    </row>
    <row r="20" spans="1:15" s="2939" customFormat="1">
      <c r="A20" s="2939" t="s">
        <v>3085</v>
      </c>
      <c r="B20" s="2939" t="s">
        <v>3044</v>
      </c>
      <c r="C20" s="2939" t="s">
        <v>3045</v>
      </c>
      <c r="D20" s="2939">
        <v>53873</v>
      </c>
      <c r="E20" s="2939">
        <v>107746</v>
      </c>
      <c r="F20" s="2939" t="s">
        <v>3082</v>
      </c>
      <c r="G20" s="2939" t="s">
        <v>3047</v>
      </c>
      <c r="H20" s="2939" t="s">
        <v>3086</v>
      </c>
      <c r="I20" s="2939">
        <v>51718</v>
      </c>
      <c r="J20" s="2939">
        <f t="shared" si="0"/>
        <v>9671</v>
      </c>
      <c r="K20" s="2939">
        <v>52100</v>
      </c>
      <c r="L20" s="2939">
        <f t="shared" si="1"/>
        <v>9671</v>
      </c>
      <c r="M20" s="2939">
        <v>4835.4399999999996</v>
      </c>
      <c r="N20" s="2939">
        <v>0.74</v>
      </c>
      <c r="O20" s="2939" t="s">
        <v>3087</v>
      </c>
    </row>
    <row r="21" spans="1:15" s="2939" customFormat="1">
      <c r="A21" s="2939" t="s">
        <v>3088</v>
      </c>
      <c r="B21" s="2939" t="s">
        <v>3044</v>
      </c>
      <c r="C21" s="2939" t="s">
        <v>3045</v>
      </c>
      <c r="D21" s="2939">
        <v>6737</v>
      </c>
      <c r="E21" s="2939">
        <v>17516.2</v>
      </c>
      <c r="F21" s="2939" t="s">
        <v>3089</v>
      </c>
      <c r="G21" s="2939" t="s">
        <v>3047</v>
      </c>
      <c r="H21" s="2939" t="s">
        <v>3090</v>
      </c>
      <c r="I21" s="2939">
        <v>4550</v>
      </c>
      <c r="J21" s="2939">
        <f t="shared" si="0"/>
        <v>6754</v>
      </c>
      <c r="K21" s="2939">
        <v>4550</v>
      </c>
      <c r="L21" s="2939">
        <f t="shared" si="1"/>
        <v>6754</v>
      </c>
      <c r="M21" s="2939">
        <v>2597.59</v>
      </c>
      <c r="N21" s="2939">
        <v>0</v>
      </c>
      <c r="O21" s="2939" t="s">
        <v>3073</v>
      </c>
    </row>
    <row r="22" spans="1:15" s="2939" customFormat="1">
      <c r="A22" s="2939" t="s">
        <v>3091</v>
      </c>
      <c r="B22" s="2939" t="s">
        <v>3044</v>
      </c>
      <c r="C22" s="2939" t="s">
        <v>3045</v>
      </c>
      <c r="D22" s="2939">
        <v>476</v>
      </c>
      <c r="E22" s="2939">
        <v>666.4</v>
      </c>
      <c r="F22" s="2939" t="s">
        <v>3092</v>
      </c>
      <c r="G22" s="2939" t="s">
        <v>3047</v>
      </c>
      <c r="H22" s="2939" t="s">
        <v>3090</v>
      </c>
      <c r="I22" s="2939">
        <v>37</v>
      </c>
      <c r="J22" s="2939">
        <f t="shared" si="0"/>
        <v>777</v>
      </c>
      <c r="K22" s="2939">
        <v>37</v>
      </c>
      <c r="L22" s="2939">
        <f t="shared" si="1"/>
        <v>777</v>
      </c>
      <c r="M22" s="2939">
        <v>555.22</v>
      </c>
      <c r="N22" s="2939">
        <v>0</v>
      </c>
      <c r="O22" s="2939" t="s">
        <v>3093</v>
      </c>
    </row>
    <row r="23" spans="1:15" s="3183" customFormat="1">
      <c r="A23" s="3183" t="s">
        <v>3094</v>
      </c>
      <c r="B23" s="3183" t="s">
        <v>3044</v>
      </c>
      <c r="C23" s="3183" t="s">
        <v>3045</v>
      </c>
      <c r="D23" s="3183">
        <v>4678</v>
      </c>
      <c r="E23" s="3183">
        <v>25729</v>
      </c>
      <c r="F23" s="3183" t="s">
        <v>3052</v>
      </c>
      <c r="G23" s="3183" t="s">
        <v>3047</v>
      </c>
      <c r="H23" s="3183" t="s">
        <v>3090</v>
      </c>
      <c r="I23" s="3183">
        <v>3558</v>
      </c>
      <c r="J23" s="3183">
        <f t="shared" si="0"/>
        <v>7606</v>
      </c>
      <c r="K23" s="3183">
        <v>3558</v>
      </c>
      <c r="L23" s="3183">
        <f t="shared" si="1"/>
        <v>7606</v>
      </c>
      <c r="M23" s="3183">
        <v>1382.88</v>
      </c>
      <c r="N23" s="3183">
        <v>0</v>
      </c>
      <c r="O23" s="3183" t="s">
        <v>3095</v>
      </c>
    </row>
    <row r="24" spans="1:15" s="2939" customFormat="1">
      <c r="A24" s="2939" t="s">
        <v>3091</v>
      </c>
      <c r="B24" s="2939" t="s">
        <v>3044</v>
      </c>
      <c r="C24" s="2939" t="s">
        <v>3045</v>
      </c>
      <c r="D24" s="2939">
        <v>7447</v>
      </c>
      <c r="E24" s="2939">
        <v>10425.799999999999</v>
      </c>
      <c r="F24" s="2939" t="s">
        <v>3092</v>
      </c>
      <c r="G24" s="2939" t="s">
        <v>3047</v>
      </c>
      <c r="H24" s="2939" t="s">
        <v>3090</v>
      </c>
      <c r="I24" s="2939">
        <v>579</v>
      </c>
      <c r="J24" s="2939">
        <f t="shared" si="0"/>
        <v>777</v>
      </c>
      <c r="K24" s="2939">
        <v>579</v>
      </c>
      <c r="L24" s="2939">
        <f t="shared" si="1"/>
        <v>777</v>
      </c>
      <c r="M24" s="2939">
        <v>555.35</v>
      </c>
      <c r="N24" s="2939">
        <v>0</v>
      </c>
      <c r="O24" s="2939" t="s">
        <v>3093</v>
      </c>
    </row>
    <row r="25" spans="1:15" s="2939" customFormat="1">
      <c r="A25" s="2939" t="s">
        <v>3096</v>
      </c>
      <c r="B25" s="2939" t="s">
        <v>3044</v>
      </c>
      <c r="C25" s="2939" t="s">
        <v>3045</v>
      </c>
      <c r="D25" s="2939">
        <v>1568</v>
      </c>
      <c r="E25" s="2939">
        <v>3136</v>
      </c>
      <c r="F25" s="2939" t="s">
        <v>3082</v>
      </c>
      <c r="G25" s="2939" t="s">
        <v>3047</v>
      </c>
      <c r="H25" s="2939" t="s">
        <v>3090</v>
      </c>
      <c r="I25" s="2939">
        <v>2350</v>
      </c>
      <c r="J25" s="2939">
        <f t="shared" si="0"/>
        <v>14987</v>
      </c>
      <c r="K25" s="2939">
        <v>2350</v>
      </c>
      <c r="L25" s="2939">
        <f t="shared" si="1"/>
        <v>14987</v>
      </c>
      <c r="M25" s="2939">
        <v>7493.61</v>
      </c>
      <c r="N25" s="2939">
        <v>0</v>
      </c>
      <c r="O25" s="2939" t="s">
        <v>3097</v>
      </c>
    </row>
    <row r="26" spans="1:15" s="2939" customFormat="1">
      <c r="A26" s="2939" t="s">
        <v>3098</v>
      </c>
      <c r="B26" s="2939" t="s">
        <v>3044</v>
      </c>
      <c r="C26" s="2939" t="s">
        <v>3045</v>
      </c>
      <c r="D26" s="2939">
        <v>2815</v>
      </c>
      <c r="E26" s="2939">
        <v>7037.5</v>
      </c>
      <c r="F26" s="2939" t="s">
        <v>3069</v>
      </c>
      <c r="G26" s="2939" t="s">
        <v>3047</v>
      </c>
      <c r="H26" s="2939" t="s">
        <v>3090</v>
      </c>
      <c r="I26" s="2939">
        <v>4220</v>
      </c>
      <c r="J26" s="2939">
        <f t="shared" si="0"/>
        <v>14991</v>
      </c>
      <c r="K26" s="2939">
        <v>4220</v>
      </c>
      <c r="L26" s="2939">
        <f t="shared" si="1"/>
        <v>14991</v>
      </c>
      <c r="M26" s="2939">
        <v>5996.44</v>
      </c>
      <c r="N26" s="2939">
        <v>0</v>
      </c>
      <c r="O26" s="2939" t="s">
        <v>3099</v>
      </c>
    </row>
    <row r="27" spans="1:15" s="2939" customFormat="1">
      <c r="A27" s="2939" t="s">
        <v>3100</v>
      </c>
      <c r="B27" s="2939" t="s">
        <v>3044</v>
      </c>
      <c r="C27" s="2939" t="s">
        <v>3045</v>
      </c>
      <c r="D27" s="2939">
        <v>63792</v>
      </c>
      <c r="E27" s="2939">
        <v>127584</v>
      </c>
      <c r="F27" s="2939" t="s">
        <v>3082</v>
      </c>
      <c r="G27" s="2939" t="s">
        <v>3047</v>
      </c>
      <c r="H27" s="2939" t="s">
        <v>3090</v>
      </c>
      <c r="I27" s="2939">
        <v>5231</v>
      </c>
      <c r="J27" s="2939">
        <f t="shared" si="0"/>
        <v>820</v>
      </c>
      <c r="K27" s="2939">
        <v>5231</v>
      </c>
      <c r="L27" s="2939">
        <f t="shared" si="1"/>
        <v>820</v>
      </c>
      <c r="M27" s="2939">
        <v>410</v>
      </c>
      <c r="N27" s="2939">
        <v>0</v>
      </c>
      <c r="O27" s="2939" t="s">
        <v>3101</v>
      </c>
    </row>
    <row r="28" spans="1:15" s="2939" customFormat="1">
      <c r="A28" s="2939" t="s">
        <v>3102</v>
      </c>
      <c r="B28" s="2939" t="s">
        <v>3044</v>
      </c>
      <c r="C28" s="2939" t="s">
        <v>3045</v>
      </c>
      <c r="D28" s="2939">
        <v>52384</v>
      </c>
      <c r="E28" s="2939">
        <v>130960</v>
      </c>
      <c r="F28" s="2939" t="s">
        <v>3069</v>
      </c>
      <c r="G28" s="2939" t="s">
        <v>3047</v>
      </c>
      <c r="H28" s="2939" t="s">
        <v>3090</v>
      </c>
      <c r="I28" s="2939">
        <v>78580</v>
      </c>
      <c r="J28" s="2939">
        <f t="shared" si="0"/>
        <v>15096</v>
      </c>
      <c r="K28" s="2939">
        <v>79080</v>
      </c>
      <c r="L28" s="2939">
        <f t="shared" si="1"/>
        <v>15096</v>
      </c>
      <c r="M28" s="2939">
        <v>6038.48</v>
      </c>
      <c r="N28" s="2939">
        <v>0.64</v>
      </c>
      <c r="O28" s="2939" t="s">
        <v>3099</v>
      </c>
    </row>
    <row r="29" spans="1:15" s="3183" customFormat="1">
      <c r="A29" s="3183" t="s">
        <v>3103</v>
      </c>
      <c r="B29" s="3183" t="s">
        <v>3044</v>
      </c>
      <c r="C29" s="3183" t="s">
        <v>3045</v>
      </c>
      <c r="D29" s="3183">
        <v>16086</v>
      </c>
      <c r="E29" s="3183">
        <v>32172</v>
      </c>
      <c r="F29" s="3183" t="s">
        <v>3082</v>
      </c>
      <c r="G29" s="3183" t="s">
        <v>3047</v>
      </c>
      <c r="H29" s="3183" t="s">
        <v>3090</v>
      </c>
      <c r="I29" s="3183">
        <v>1271</v>
      </c>
      <c r="J29" s="3183">
        <f t="shared" si="0"/>
        <v>790</v>
      </c>
      <c r="K29" s="3183">
        <v>1271</v>
      </c>
      <c r="L29" s="3183">
        <f t="shared" si="1"/>
        <v>790</v>
      </c>
      <c r="M29" s="3183">
        <v>395.06</v>
      </c>
      <c r="N29" s="3183">
        <v>0</v>
      </c>
      <c r="O29" s="3183" t="s">
        <v>3104</v>
      </c>
    </row>
    <row r="30" spans="1:15" s="3185" customFormat="1">
      <c r="A30" s="3186" t="s">
        <v>3139</v>
      </c>
      <c r="B30" s="3185" t="s">
        <v>3044</v>
      </c>
      <c r="C30" s="3185" t="s">
        <v>3045</v>
      </c>
      <c r="D30" s="3185">
        <v>6454</v>
      </c>
      <c r="E30" s="3185">
        <v>10326.4</v>
      </c>
      <c r="F30" s="3185" t="s">
        <v>3062</v>
      </c>
      <c r="G30" s="3185" t="s">
        <v>3047</v>
      </c>
      <c r="H30" s="3185" t="s">
        <v>3090</v>
      </c>
      <c r="I30" s="3185">
        <v>1307</v>
      </c>
      <c r="J30" s="2939">
        <f t="shared" si="0"/>
        <v>2025</v>
      </c>
      <c r="K30" s="3185">
        <v>1307</v>
      </c>
      <c r="L30" s="2939">
        <f t="shared" si="1"/>
        <v>2025</v>
      </c>
      <c r="M30" s="3185">
        <v>1265.69</v>
      </c>
      <c r="N30" s="3185">
        <v>0</v>
      </c>
      <c r="O30" s="3185" t="s">
        <v>3106</v>
      </c>
    </row>
    <row r="31" spans="1:15" s="2939" customFormat="1">
      <c r="A31" s="2939" t="s">
        <v>3107</v>
      </c>
      <c r="B31" s="2939" t="s">
        <v>3044</v>
      </c>
      <c r="C31" s="2939" t="s">
        <v>3045</v>
      </c>
      <c r="D31" s="2939">
        <v>67422</v>
      </c>
      <c r="E31" s="2939">
        <v>148328.4</v>
      </c>
      <c r="F31" s="2939" t="s">
        <v>3108</v>
      </c>
      <c r="G31" s="2939" t="s">
        <v>3047</v>
      </c>
      <c r="H31" s="2939" t="s">
        <v>3090</v>
      </c>
      <c r="I31" s="2939">
        <v>7281</v>
      </c>
      <c r="J31" s="2939">
        <f t="shared" si="0"/>
        <v>1080</v>
      </c>
      <c r="K31" s="2939">
        <v>7281</v>
      </c>
      <c r="L31" s="2939">
        <f t="shared" si="1"/>
        <v>1080</v>
      </c>
      <c r="M31" s="2939">
        <v>490.87</v>
      </c>
      <c r="N31" s="2939">
        <v>0</v>
      </c>
      <c r="O31" s="2939" t="s">
        <v>3109</v>
      </c>
    </row>
    <row r="32" spans="1:15" s="2939" customFormat="1">
      <c r="A32" s="2939" t="s">
        <v>3103</v>
      </c>
      <c r="B32" s="2939" t="s">
        <v>3044</v>
      </c>
      <c r="C32" s="2939" t="s">
        <v>3045</v>
      </c>
      <c r="D32" s="2939">
        <v>10565</v>
      </c>
      <c r="E32" s="2939">
        <v>21130</v>
      </c>
      <c r="F32" s="2939" t="s">
        <v>3082</v>
      </c>
      <c r="G32" s="2939" t="s">
        <v>3047</v>
      </c>
      <c r="H32" s="2939" t="s">
        <v>3090</v>
      </c>
      <c r="I32" s="2939">
        <v>835</v>
      </c>
      <c r="J32" s="2939">
        <f t="shared" si="0"/>
        <v>790</v>
      </c>
      <c r="K32" s="2939">
        <v>835</v>
      </c>
      <c r="L32" s="2939">
        <f t="shared" si="1"/>
        <v>790</v>
      </c>
      <c r="M32" s="2939">
        <v>395.17</v>
      </c>
      <c r="N32" s="2939">
        <v>0</v>
      </c>
      <c r="O32" s="2939" t="s">
        <v>3104</v>
      </c>
    </row>
    <row r="33" spans="1:15" s="2939" customFormat="1">
      <c r="A33" s="2939" t="s">
        <v>3107</v>
      </c>
      <c r="B33" s="2939" t="s">
        <v>3044</v>
      </c>
      <c r="C33" s="2939" t="s">
        <v>3045</v>
      </c>
      <c r="D33" s="2939">
        <v>57586</v>
      </c>
      <c r="E33" s="2939">
        <v>126689.2</v>
      </c>
      <c r="F33" s="2939" t="s">
        <v>3108</v>
      </c>
      <c r="G33" s="2939" t="s">
        <v>3047</v>
      </c>
      <c r="H33" s="2939" t="s">
        <v>3090</v>
      </c>
      <c r="I33" s="2939">
        <v>6219</v>
      </c>
      <c r="J33" s="2939">
        <f t="shared" si="0"/>
        <v>1080</v>
      </c>
      <c r="K33" s="2939">
        <v>6219</v>
      </c>
      <c r="L33" s="2939">
        <f t="shared" si="1"/>
        <v>1080</v>
      </c>
      <c r="M33" s="2939">
        <v>490.88</v>
      </c>
      <c r="N33" s="2939">
        <v>0</v>
      </c>
      <c r="O33" s="2939" t="s">
        <v>3109</v>
      </c>
    </row>
    <row r="34" spans="1:15" s="3183" customFormat="1">
      <c r="A34" s="3183" t="s">
        <v>3105</v>
      </c>
      <c r="B34" s="3183" t="s">
        <v>3044</v>
      </c>
      <c r="C34" s="3183" t="s">
        <v>3045</v>
      </c>
      <c r="D34" s="3183">
        <v>896</v>
      </c>
      <c r="E34" s="3183">
        <v>1433.6</v>
      </c>
      <c r="F34" s="3183" t="s">
        <v>3062</v>
      </c>
      <c r="G34" s="3183" t="s">
        <v>3047</v>
      </c>
      <c r="H34" s="3183" t="s">
        <v>3090</v>
      </c>
      <c r="I34" s="3183">
        <v>181</v>
      </c>
      <c r="J34" s="3183">
        <f t="shared" ref="J34:J51" si="2">ROUND(K34*10000/D34,0)</f>
        <v>2020</v>
      </c>
      <c r="K34" s="3183">
        <v>181</v>
      </c>
      <c r="L34" s="3183">
        <f t="shared" si="1"/>
        <v>2020</v>
      </c>
      <c r="M34" s="3183">
        <v>1262.55</v>
      </c>
      <c r="N34" s="3183">
        <v>0</v>
      </c>
      <c r="O34" s="3183" t="s">
        <v>3106</v>
      </c>
    </row>
    <row r="35" spans="1:15" s="2939" customFormat="1">
      <c r="A35" s="2939" t="s">
        <v>3110</v>
      </c>
      <c r="B35" s="2939" t="s">
        <v>3044</v>
      </c>
      <c r="C35" s="2939" t="s">
        <v>3045</v>
      </c>
      <c r="D35" s="2939">
        <v>2651</v>
      </c>
      <c r="E35" s="2939">
        <v>5036.8999999999996</v>
      </c>
      <c r="F35" s="2939" t="s">
        <v>3072</v>
      </c>
      <c r="G35" s="2939" t="s">
        <v>3047</v>
      </c>
      <c r="H35" s="2939" t="s">
        <v>3090</v>
      </c>
      <c r="I35" s="2939">
        <v>1791</v>
      </c>
      <c r="J35" s="2939">
        <f t="shared" si="2"/>
        <v>6756</v>
      </c>
      <c r="K35" s="2939">
        <v>1791</v>
      </c>
      <c r="L35" s="2939">
        <f t="shared" si="1"/>
        <v>6756</v>
      </c>
      <c r="M35" s="2939">
        <v>3555.76</v>
      </c>
      <c r="N35" s="2939">
        <v>0</v>
      </c>
      <c r="O35" s="2939" t="s">
        <v>3073</v>
      </c>
    </row>
    <row r="36" spans="1:15" s="2939" customFormat="1">
      <c r="A36" s="2939" t="s">
        <v>3107</v>
      </c>
      <c r="B36" s="2939" t="s">
        <v>3044</v>
      </c>
      <c r="C36" s="2939" t="s">
        <v>3045</v>
      </c>
      <c r="D36" s="2939">
        <v>67505</v>
      </c>
      <c r="E36" s="2939">
        <v>148511</v>
      </c>
      <c r="F36" s="2939" t="s">
        <v>3108</v>
      </c>
      <c r="G36" s="2939" t="s">
        <v>3047</v>
      </c>
      <c r="H36" s="2939" t="s">
        <v>3090</v>
      </c>
      <c r="I36" s="2939">
        <v>7291</v>
      </c>
      <c r="J36" s="2939">
        <f t="shared" si="2"/>
        <v>1080</v>
      </c>
      <c r="K36" s="2939">
        <v>7291</v>
      </c>
      <c r="L36" s="2939">
        <f t="shared" si="1"/>
        <v>1080</v>
      </c>
      <c r="M36" s="2939">
        <v>490.93</v>
      </c>
      <c r="N36" s="2939">
        <v>0</v>
      </c>
      <c r="O36" s="2939" t="s">
        <v>3109</v>
      </c>
    </row>
    <row r="37" spans="1:15" s="2939" customFormat="1">
      <c r="A37" s="2939" t="s">
        <v>3111</v>
      </c>
      <c r="B37" s="2939" t="s">
        <v>3044</v>
      </c>
      <c r="C37" s="2939" t="s">
        <v>3045</v>
      </c>
      <c r="D37" s="2939">
        <v>18160</v>
      </c>
      <c r="E37" s="2939">
        <v>49032</v>
      </c>
      <c r="F37" s="2939" t="s">
        <v>3112</v>
      </c>
      <c r="G37" s="2939" t="s">
        <v>3047</v>
      </c>
      <c r="H37" s="2939" t="s">
        <v>3113</v>
      </c>
      <c r="I37" s="2939">
        <v>5448</v>
      </c>
      <c r="J37" s="2939">
        <f t="shared" si="2"/>
        <v>3000</v>
      </c>
      <c r="K37" s="2939">
        <v>5448</v>
      </c>
      <c r="L37" s="2939">
        <f t="shared" si="1"/>
        <v>3000</v>
      </c>
      <c r="M37" s="2939">
        <v>1111.0999999999999</v>
      </c>
      <c r="N37" s="2939">
        <v>0</v>
      </c>
      <c r="O37" s="2939" t="s">
        <v>3114</v>
      </c>
    </row>
    <row r="38" spans="1:15" s="2939" customFormat="1">
      <c r="A38" s="2939" t="s">
        <v>3115</v>
      </c>
      <c r="B38" s="2939" t="s">
        <v>3044</v>
      </c>
      <c r="C38" s="2939" t="s">
        <v>3045</v>
      </c>
      <c r="D38" s="2939">
        <v>61593</v>
      </c>
      <c r="E38" s="2939">
        <v>141663.9</v>
      </c>
      <c r="F38" s="2939" t="s">
        <v>3116</v>
      </c>
      <c r="G38" s="2939" t="s">
        <v>3047</v>
      </c>
      <c r="H38" s="2939" t="s">
        <v>3117</v>
      </c>
      <c r="I38" s="2939">
        <v>18478</v>
      </c>
      <c r="J38" s="2939">
        <f t="shared" si="2"/>
        <v>3000</v>
      </c>
      <c r="K38" s="2939">
        <v>18478</v>
      </c>
      <c r="L38" s="2939">
        <f t="shared" si="1"/>
        <v>3000</v>
      </c>
      <c r="M38" s="2939">
        <v>1304.3399999999999</v>
      </c>
      <c r="N38" s="2939">
        <v>0</v>
      </c>
      <c r="O38" s="2939" t="s">
        <v>3118</v>
      </c>
    </row>
    <row r="39" spans="1:15" s="3191" customFormat="1">
      <c r="A39" s="3192" t="s">
        <v>3153</v>
      </c>
      <c r="B39" s="3191" t="s">
        <v>3044</v>
      </c>
      <c r="C39" s="3191" t="s">
        <v>3045</v>
      </c>
      <c r="D39" s="3191">
        <v>26269</v>
      </c>
      <c r="E39" s="3191">
        <v>55164.9</v>
      </c>
      <c r="F39" s="3191" t="s">
        <v>3119</v>
      </c>
      <c r="G39" s="3191" t="s">
        <v>3047</v>
      </c>
      <c r="H39" s="3191" t="s">
        <v>3117</v>
      </c>
      <c r="I39" s="3191">
        <v>7880</v>
      </c>
      <c r="J39" s="3191">
        <f t="shared" si="2"/>
        <v>3000</v>
      </c>
      <c r="K39" s="3191">
        <v>7880</v>
      </c>
      <c r="L39" s="3191">
        <f t="shared" si="1"/>
        <v>3000</v>
      </c>
      <c r="M39" s="3191">
        <v>1428.44</v>
      </c>
      <c r="N39" s="3191">
        <v>0</v>
      </c>
      <c r="O39" s="3191" t="s">
        <v>3118</v>
      </c>
    </row>
    <row r="40" spans="1:15" s="2939" customFormat="1">
      <c r="A40" s="2939" t="s">
        <v>3120</v>
      </c>
      <c r="B40" s="2939" t="s">
        <v>3044</v>
      </c>
      <c r="C40" s="2939" t="s">
        <v>3045</v>
      </c>
      <c r="D40" s="2939">
        <v>47050</v>
      </c>
      <c r="E40" s="2939">
        <v>98805</v>
      </c>
      <c r="F40" s="2939" t="s">
        <v>3119</v>
      </c>
      <c r="G40" s="2939" t="s">
        <v>3047</v>
      </c>
      <c r="H40" s="2939" t="s">
        <v>3117</v>
      </c>
      <c r="I40" s="2939">
        <v>14116</v>
      </c>
      <c r="J40" s="2939">
        <f t="shared" si="2"/>
        <v>3000</v>
      </c>
      <c r="K40" s="2939">
        <v>14116</v>
      </c>
      <c r="L40" s="2939">
        <f t="shared" si="1"/>
        <v>3000</v>
      </c>
      <c r="M40" s="2939">
        <v>1428.67</v>
      </c>
      <c r="N40" s="2939">
        <v>0</v>
      </c>
      <c r="O40" s="2939" t="s">
        <v>3118</v>
      </c>
    </row>
    <row r="41" spans="1:15" s="2939" customFormat="1">
      <c r="A41" s="2939" t="s">
        <v>3121</v>
      </c>
      <c r="B41" s="2939" t="s">
        <v>3044</v>
      </c>
      <c r="C41" s="2939" t="s">
        <v>3045</v>
      </c>
      <c r="D41" s="2939">
        <v>44664</v>
      </c>
      <c r="E41" s="2939">
        <v>120592.8</v>
      </c>
      <c r="F41" s="2939" t="s">
        <v>3112</v>
      </c>
      <c r="G41" s="2939" t="s">
        <v>3047</v>
      </c>
      <c r="H41" s="2939" t="s">
        <v>3117</v>
      </c>
      <c r="I41" s="2939">
        <v>13400</v>
      </c>
      <c r="J41" s="2939">
        <f t="shared" si="2"/>
        <v>3000</v>
      </c>
      <c r="K41" s="2939">
        <v>13400</v>
      </c>
      <c r="L41" s="2939">
        <f t="shared" si="1"/>
        <v>3000</v>
      </c>
      <c r="M41" s="2939">
        <v>1111.18</v>
      </c>
      <c r="N41" s="2939">
        <v>0</v>
      </c>
      <c r="O41" s="2939" t="s">
        <v>3118</v>
      </c>
    </row>
    <row r="42" spans="1:15" s="2939" customFormat="1">
      <c r="A42" s="2939" t="s">
        <v>3122</v>
      </c>
      <c r="B42" s="2939" t="s">
        <v>3044</v>
      </c>
      <c r="C42" s="2939" t="s">
        <v>3045</v>
      </c>
      <c r="D42" s="2939">
        <v>26026</v>
      </c>
      <c r="E42" s="2939">
        <v>62462.400000000001</v>
      </c>
      <c r="F42" s="2939" t="s">
        <v>3123</v>
      </c>
      <c r="G42" s="2939" t="s">
        <v>3047</v>
      </c>
      <c r="H42" s="2939" t="s">
        <v>3117</v>
      </c>
      <c r="I42" s="2939">
        <v>7808</v>
      </c>
      <c r="J42" s="2939">
        <f t="shared" si="2"/>
        <v>3000</v>
      </c>
      <c r="K42" s="2939">
        <v>7808</v>
      </c>
      <c r="L42" s="2939">
        <f t="shared" si="1"/>
        <v>3000</v>
      </c>
      <c r="M42" s="2939">
        <v>1250.02</v>
      </c>
      <c r="N42" s="2939">
        <v>0</v>
      </c>
      <c r="O42" s="2939" t="s">
        <v>3118</v>
      </c>
    </row>
    <row r="43" spans="1:15" s="2939" customFormat="1">
      <c r="A43" s="2939" t="s">
        <v>3124</v>
      </c>
      <c r="B43" s="2939" t="s">
        <v>3044</v>
      </c>
      <c r="C43" s="2939" t="s">
        <v>3045</v>
      </c>
      <c r="D43" s="2939">
        <v>44909</v>
      </c>
      <c r="E43" s="2939">
        <v>76345.3</v>
      </c>
      <c r="F43" s="2939" t="s">
        <v>3125</v>
      </c>
      <c r="G43" s="2939" t="s">
        <v>3047</v>
      </c>
      <c r="H43" s="2939" t="s">
        <v>3117</v>
      </c>
      <c r="I43" s="2939">
        <v>13472</v>
      </c>
      <c r="J43" s="2939">
        <f t="shared" si="2"/>
        <v>3000</v>
      </c>
      <c r="K43" s="2939">
        <v>13472</v>
      </c>
      <c r="L43" s="2939">
        <f t="shared" si="1"/>
        <v>3000</v>
      </c>
      <c r="M43" s="2939">
        <v>1764.6</v>
      </c>
      <c r="N43" s="2939">
        <v>0</v>
      </c>
      <c r="O43" s="2939" t="s">
        <v>3118</v>
      </c>
    </row>
    <row r="44" spans="1:15" s="2939" customFormat="1">
      <c r="A44" s="2939" t="s">
        <v>3126</v>
      </c>
      <c r="B44" s="2939" t="s">
        <v>3044</v>
      </c>
      <c r="C44" s="2939" t="s">
        <v>3045</v>
      </c>
      <c r="D44" s="2939">
        <v>36101</v>
      </c>
      <c r="E44" s="2939">
        <v>54151.5</v>
      </c>
      <c r="F44" s="2939" t="s">
        <v>3127</v>
      </c>
      <c r="G44" s="2939" t="s">
        <v>3047</v>
      </c>
      <c r="H44" s="2939" t="s">
        <v>3117</v>
      </c>
      <c r="I44" s="2939">
        <v>10830</v>
      </c>
      <c r="J44" s="2939">
        <f t="shared" si="2"/>
        <v>3000</v>
      </c>
      <c r="K44" s="2939">
        <v>10830</v>
      </c>
      <c r="L44" s="2939">
        <f t="shared" si="1"/>
        <v>3000</v>
      </c>
      <c r="M44" s="2939">
        <v>1999.94</v>
      </c>
      <c r="N44" s="2939">
        <v>0</v>
      </c>
      <c r="O44" s="2939" t="s">
        <v>3118</v>
      </c>
    </row>
    <row r="45" spans="1:15" s="2939" customFormat="1">
      <c r="A45" s="2939" t="s">
        <v>3128</v>
      </c>
      <c r="B45" s="2939" t="s">
        <v>3044</v>
      </c>
      <c r="C45" s="2939" t="s">
        <v>3045</v>
      </c>
      <c r="D45" s="2939">
        <v>62004</v>
      </c>
      <c r="E45" s="2939">
        <v>155010</v>
      </c>
      <c r="F45" s="2939" t="s">
        <v>3069</v>
      </c>
      <c r="G45" s="2939" t="s">
        <v>3047</v>
      </c>
      <c r="H45" s="2939" t="s">
        <v>3117</v>
      </c>
      <c r="I45" s="2939">
        <v>18602</v>
      </c>
      <c r="J45" s="2939">
        <f t="shared" si="2"/>
        <v>3000</v>
      </c>
      <c r="K45" s="2939">
        <v>18602</v>
      </c>
      <c r="L45" s="2939">
        <f t="shared" si="1"/>
        <v>3000</v>
      </c>
      <c r="M45" s="2939">
        <v>1200.04</v>
      </c>
      <c r="N45" s="2939">
        <v>0</v>
      </c>
      <c r="O45" s="2939" t="s">
        <v>3118</v>
      </c>
    </row>
    <row r="46" spans="1:15" s="2939" customFormat="1">
      <c r="A46" s="2939" t="s">
        <v>3129</v>
      </c>
      <c r="B46" s="2939" t="s">
        <v>3044</v>
      </c>
      <c r="C46" s="2939" t="s">
        <v>3045</v>
      </c>
      <c r="D46" s="2939">
        <v>64629</v>
      </c>
      <c r="E46" s="2939">
        <v>161572.5</v>
      </c>
      <c r="F46" s="2939" t="s">
        <v>3069</v>
      </c>
      <c r="G46" s="2939" t="s">
        <v>3047</v>
      </c>
      <c r="H46" s="2939" t="s">
        <v>3117</v>
      </c>
      <c r="I46" s="2939">
        <v>19388</v>
      </c>
      <c r="J46" s="2939">
        <f t="shared" si="2"/>
        <v>3000</v>
      </c>
      <c r="K46" s="2939">
        <v>19388</v>
      </c>
      <c r="L46" s="2939">
        <f t="shared" si="1"/>
        <v>3000</v>
      </c>
      <c r="M46" s="2939">
        <v>1199.96</v>
      </c>
      <c r="N46" s="2939">
        <v>0</v>
      </c>
      <c r="O46" s="2939" t="s">
        <v>3118</v>
      </c>
    </row>
    <row r="47" spans="1:15" s="2939" customFormat="1">
      <c r="A47" s="2939" t="s">
        <v>3130</v>
      </c>
      <c r="B47" s="2939" t="s">
        <v>3044</v>
      </c>
      <c r="C47" s="2939" t="s">
        <v>3045</v>
      </c>
      <c r="D47" s="2939">
        <v>22586</v>
      </c>
      <c r="E47" s="2939">
        <v>31620.400000000001</v>
      </c>
      <c r="F47" s="2939" t="s">
        <v>3092</v>
      </c>
      <c r="G47" s="2939" t="s">
        <v>3047</v>
      </c>
      <c r="H47" s="2939" t="s">
        <v>3117</v>
      </c>
      <c r="I47" s="2939">
        <v>6776</v>
      </c>
      <c r="J47" s="2939">
        <f t="shared" si="2"/>
        <v>3000</v>
      </c>
      <c r="K47" s="2939">
        <v>6776</v>
      </c>
      <c r="L47" s="2939">
        <f t="shared" si="1"/>
        <v>3000</v>
      </c>
      <c r="M47" s="2939">
        <v>2142.92</v>
      </c>
      <c r="N47" s="2939">
        <v>0</v>
      </c>
      <c r="O47" s="2939" t="s">
        <v>3118</v>
      </c>
    </row>
    <row r="48" spans="1:15" s="2939" customFormat="1">
      <c r="A48" s="2939" t="s">
        <v>3122</v>
      </c>
      <c r="B48" s="2939" t="s">
        <v>3044</v>
      </c>
      <c r="C48" s="2939" t="s">
        <v>3045</v>
      </c>
      <c r="D48" s="2939">
        <v>51714</v>
      </c>
      <c r="E48" s="2939">
        <v>124113.60000000001</v>
      </c>
      <c r="F48" s="2939" t="s">
        <v>3123</v>
      </c>
      <c r="G48" s="2939" t="s">
        <v>3047</v>
      </c>
      <c r="H48" s="2939" t="s">
        <v>3117</v>
      </c>
      <c r="I48" s="2939">
        <v>15514</v>
      </c>
      <c r="J48" s="2939">
        <f t="shared" si="2"/>
        <v>3000</v>
      </c>
      <c r="K48" s="2939">
        <v>15514</v>
      </c>
      <c r="L48" s="2939">
        <f t="shared" si="1"/>
        <v>3000</v>
      </c>
      <c r="M48" s="2939">
        <v>1249.98</v>
      </c>
      <c r="N48" s="2939">
        <v>0</v>
      </c>
      <c r="O48" s="2939" t="s">
        <v>3118</v>
      </c>
    </row>
    <row r="49" spans="1:15" s="2939" customFormat="1">
      <c r="A49" s="2939" t="s">
        <v>3131</v>
      </c>
      <c r="B49" s="2939" t="s">
        <v>3044</v>
      </c>
      <c r="C49" s="2939" t="s">
        <v>3045</v>
      </c>
      <c r="D49" s="2939">
        <v>54768</v>
      </c>
      <c r="E49" s="2939">
        <v>115012.8</v>
      </c>
      <c r="F49" s="2939" t="s">
        <v>3119</v>
      </c>
      <c r="G49" s="2939" t="s">
        <v>3047</v>
      </c>
      <c r="H49" s="2939" t="s">
        <v>3117</v>
      </c>
      <c r="I49" s="2939">
        <v>16430</v>
      </c>
      <c r="J49" s="2939">
        <f t="shared" si="2"/>
        <v>3000</v>
      </c>
      <c r="K49" s="2939">
        <v>16430</v>
      </c>
      <c r="L49" s="2939">
        <f t="shared" si="1"/>
        <v>3000</v>
      </c>
      <c r="M49" s="2939">
        <v>1428.53</v>
      </c>
      <c r="N49" s="2939">
        <v>0</v>
      </c>
      <c r="O49" s="2939" t="s">
        <v>3118</v>
      </c>
    </row>
    <row r="50" spans="1:15" s="2939" customFormat="1">
      <c r="A50" s="2939" t="s">
        <v>3132</v>
      </c>
      <c r="B50" s="2939" t="s">
        <v>3044</v>
      </c>
      <c r="C50" s="2939" t="s">
        <v>3045</v>
      </c>
      <c r="D50" s="2939">
        <v>56577</v>
      </c>
      <c r="E50" s="2939">
        <v>130127.1</v>
      </c>
      <c r="F50" s="2939" t="s">
        <v>3116</v>
      </c>
      <c r="G50" s="2939" t="s">
        <v>3047</v>
      </c>
      <c r="H50" s="2939" t="s">
        <v>3117</v>
      </c>
      <c r="I50" s="2939">
        <v>16974</v>
      </c>
      <c r="J50" s="2939">
        <f t="shared" si="2"/>
        <v>3000</v>
      </c>
      <c r="K50" s="2939">
        <v>16974</v>
      </c>
      <c r="L50" s="2939">
        <f t="shared" si="1"/>
        <v>3000</v>
      </c>
      <c r="M50" s="2939">
        <v>1304.42</v>
      </c>
      <c r="N50" s="2939">
        <v>0</v>
      </c>
      <c r="O50" s="2939" t="s">
        <v>3118</v>
      </c>
    </row>
    <row r="51" spans="1:15" s="2939" customFormat="1">
      <c r="A51" s="2939" t="s">
        <v>3133</v>
      </c>
      <c r="B51" s="2939" t="s">
        <v>3044</v>
      </c>
      <c r="C51" s="2939" t="s">
        <v>3045</v>
      </c>
      <c r="D51" s="2939">
        <v>36754</v>
      </c>
      <c r="E51" s="2939">
        <v>73508</v>
      </c>
      <c r="F51" s="2939" t="s">
        <v>3082</v>
      </c>
      <c r="G51" s="2939" t="s">
        <v>3047</v>
      </c>
      <c r="H51" s="2939" t="s">
        <v>3134</v>
      </c>
      <c r="I51" s="2939">
        <v>37488</v>
      </c>
      <c r="J51" s="2939">
        <f t="shared" si="2"/>
        <v>14692</v>
      </c>
      <c r="K51" s="2939">
        <v>54000</v>
      </c>
      <c r="L51" s="2939">
        <f t="shared" si="1"/>
        <v>14692</v>
      </c>
      <c r="M51" s="2939">
        <v>7346.14</v>
      </c>
      <c r="N51" s="2939">
        <v>44.05</v>
      </c>
      <c r="O51" s="2939" t="s">
        <v>3135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2040</v>
      </c>
      <c r="B1" s="3201"/>
      <c r="C1" s="3201"/>
      <c r="D1" s="3201"/>
      <c r="E1" s="3201"/>
      <c r="F1" s="3201"/>
      <c r="G1" s="3201"/>
      <c r="H1" s="3201"/>
      <c r="I1" s="3201"/>
      <c r="J1" s="3201"/>
      <c r="K1" s="3201"/>
      <c r="L1" s="3201"/>
      <c r="M1" s="3201"/>
      <c r="N1" s="3201"/>
      <c r="O1" s="3201"/>
      <c r="P1" s="3201"/>
      <c r="Q1" s="3201"/>
      <c r="R1" s="3201"/>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2" t="s">
        <v>2031</v>
      </c>
      <c r="B3" s="3202" t="s">
        <v>2733</v>
      </c>
      <c r="C3" s="3203" t="s">
        <v>2032</v>
      </c>
      <c r="D3" s="3202" t="s">
        <v>2737</v>
      </c>
      <c r="E3" s="3205" t="s">
        <v>2033</v>
      </c>
      <c r="F3" s="3205"/>
      <c r="G3" s="3205"/>
      <c r="H3" s="3205" t="s">
        <v>2034</v>
      </c>
      <c r="I3" s="3205"/>
      <c r="J3" s="3205"/>
      <c r="K3" s="3203" t="s">
        <v>2035</v>
      </c>
      <c r="L3" s="3203" t="s">
        <v>2036</v>
      </c>
      <c r="M3" s="3202" t="s">
        <v>2734</v>
      </c>
      <c r="N3" s="3204" t="str">
        <f>"（分摊）"&amp;项目基本情况!B16&amp;"国有建设用地使用权面积/㎡"</f>
        <v>（分摊）出让国有建设用地使用权面积/㎡</v>
      </c>
      <c r="O3" s="3202" t="s">
        <v>2065</v>
      </c>
      <c r="P3" s="3203" t="s">
        <v>2045</v>
      </c>
      <c r="Q3" s="3203" t="s">
        <v>2066</v>
      </c>
      <c r="R3" s="3203" t="s">
        <v>2037</v>
      </c>
    </row>
    <row r="4" spans="1:18" ht="36.75" customHeight="1">
      <c r="A4" s="3202"/>
      <c r="B4" s="3202"/>
      <c r="C4" s="3203"/>
      <c r="D4" s="3202"/>
      <c r="E4" s="2649" t="s">
        <v>2044</v>
      </c>
      <c r="F4" s="2649" t="s">
        <v>2746</v>
      </c>
      <c r="G4" s="2649" t="s">
        <v>2038</v>
      </c>
      <c r="H4" s="2649" t="s">
        <v>2039</v>
      </c>
      <c r="I4" s="2649" t="s">
        <v>2747</v>
      </c>
      <c r="J4" s="2649" t="s">
        <v>2038</v>
      </c>
      <c r="K4" s="3203"/>
      <c r="L4" s="3203"/>
      <c r="M4" s="3202"/>
      <c r="N4" s="3204"/>
      <c r="O4" s="3202"/>
      <c r="P4" s="3203"/>
      <c r="Q4" s="3203"/>
      <c r="R4" s="3203"/>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2785</v>
      </c>
      <c r="Q5" s="1810">
        <f ca="1">结果表!D42</f>
        <v>2321</v>
      </c>
      <c r="R5" s="1811">
        <f ca="1">结果表!C42</f>
        <v>1842</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2" t="str">
        <f>结果表!O39</f>
        <v>——</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2"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7" t="s">
        <v>2067</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2068</v>
      </c>
      <c r="B5" s="3206"/>
      <c r="C5" s="3206"/>
      <c r="D5" s="3206"/>
    </row>
    <row r="6" spans="1:4">
      <c r="A6" s="3207" t="s">
        <v>2046</v>
      </c>
      <c r="B6" s="3207"/>
      <c r="C6" s="3207"/>
      <c r="D6" s="3207"/>
    </row>
    <row r="7" spans="1:4" ht="33" customHeight="1">
      <c r="A7" s="3207" t="s">
        <v>2577</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2070</v>
      </c>
      <c r="B12" s="3206"/>
      <c r="C12" s="3206"/>
      <c r="D12" s="3206"/>
    </row>
    <row r="13" spans="1:4">
      <c r="A13" s="3210" t="s">
        <v>2748</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2704</v>
      </c>
      <c r="B17" s="3207"/>
      <c r="C17" s="3207"/>
      <c r="D17" s="3207"/>
    </row>
    <row r="18" spans="1:4">
      <c r="A18" s="3207" t="s">
        <v>2696</v>
      </c>
      <c r="B18" s="3207"/>
      <c r="C18" s="3207"/>
      <c r="D18" s="3207"/>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07" t="s">
        <v>2701</v>
      </c>
      <c r="B23" s="3207"/>
      <c r="C23" s="3207"/>
      <c r="D23" s="3207"/>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8" t="s">
        <v>53</v>
      </c>
      <c r="B15" s="3219" t="s">
        <v>845</v>
      </c>
      <c r="C15" s="3215"/>
    </row>
    <row r="16" spans="1:7" ht="14.25">
      <c r="A16" s="3218"/>
      <c r="B16" s="3216" t="s">
        <v>54</v>
      </c>
      <c r="C16" s="1171" t="s">
        <v>53</v>
      </c>
    </row>
    <row r="17" spans="1:3" ht="14.25">
      <c r="A17" s="3218"/>
      <c r="B17" s="3216"/>
      <c r="C17" s="1171" t="s">
        <v>55</v>
      </c>
    </row>
    <row r="18" spans="1:3" ht="14.25">
      <c r="A18" s="3218"/>
      <c r="B18" s="3216"/>
      <c r="C18" s="1171" t="s">
        <v>56</v>
      </c>
    </row>
    <row r="19" spans="1:3" ht="14.25">
      <c r="A19" s="3218"/>
      <c r="B19" s="3214" t="s">
        <v>57</v>
      </c>
      <c r="C19" s="3215"/>
    </row>
    <row r="20" spans="1:3" ht="14.25">
      <c r="A20" s="1172" t="s">
        <v>58</v>
      </c>
      <c r="B20" s="1173"/>
      <c r="C20" s="1174"/>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5" t="s">
        <v>836</v>
      </c>
    </row>
    <row r="25" spans="1:3" ht="14.25">
      <c r="A25" s="3217"/>
      <c r="B25" s="3221"/>
      <c r="C25" s="1175" t="s">
        <v>837</v>
      </c>
    </row>
    <row r="26" spans="1:3" ht="14.25">
      <c r="A26" s="3217"/>
      <c r="B26" s="3221"/>
      <c r="C26" s="1175" t="s">
        <v>838</v>
      </c>
    </row>
    <row r="27" spans="1:3" ht="14.25">
      <c r="A27" s="3217"/>
      <c r="B27" s="3221"/>
      <c r="C27" s="1175" t="s">
        <v>839</v>
      </c>
    </row>
    <row r="28" spans="1:3" ht="14.25">
      <c r="A28" s="3217"/>
      <c r="B28" s="3221"/>
      <c r="C28" s="1175" t="s">
        <v>840</v>
      </c>
    </row>
    <row r="29" spans="1:3" ht="14.25">
      <c r="A29" s="3217"/>
      <c r="B29" s="3221"/>
      <c r="C29" s="1175" t="s">
        <v>841</v>
      </c>
    </row>
    <row r="30" spans="1:3" ht="14.25">
      <c r="A30" s="3217"/>
      <c r="B30" s="3221"/>
      <c r="C30" s="1175" t="s">
        <v>842</v>
      </c>
    </row>
    <row r="31" spans="1:3" ht="14.25">
      <c r="A31" s="3217"/>
      <c r="B31" s="3221"/>
      <c r="C31" s="1175" t="s">
        <v>843</v>
      </c>
    </row>
    <row r="32" spans="1:3" ht="14.25">
      <c r="A32" s="3217"/>
      <c r="B32" s="3221"/>
      <c r="C32" s="1175" t="s">
        <v>1646</v>
      </c>
    </row>
    <row r="33" spans="1:3" ht="14.25">
      <c r="A33" s="3217"/>
      <c r="B33" s="3211" t="s">
        <v>1652</v>
      </c>
      <c r="C33" s="1175" t="s">
        <v>1647</v>
      </c>
    </row>
    <row r="34" spans="1:3" ht="14.25">
      <c r="A34" s="3217"/>
      <c r="B34" s="3212"/>
      <c r="C34" s="1180" t="s">
        <v>1648</v>
      </c>
    </row>
    <row r="35" spans="1:3" ht="14.25">
      <c r="A35" s="3217"/>
      <c r="B35" s="3212"/>
      <c r="C35" s="1181" t="s">
        <v>1649</v>
      </c>
    </row>
    <row r="36" spans="1:3" ht="14.25">
      <c r="A36" s="3217"/>
      <c r="B36" s="3212"/>
      <c r="C36" s="1181" t="s">
        <v>1650</v>
      </c>
    </row>
    <row r="37" spans="1:3" ht="14.25">
      <c r="A37" s="3217"/>
      <c r="B37" s="3213"/>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43348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2" t="s">
        <v>1928</v>
      </c>
      <c r="B25" s="3222"/>
      <c r="C25" s="3222"/>
      <c r="D25" s="3222"/>
      <c r="E25" s="3222"/>
      <c r="F25" s="3222"/>
      <c r="G25" s="3222"/>
    </row>
    <row r="26" spans="1:7" ht="20.25" customHeight="1">
      <c r="A26" s="3223" t="s">
        <v>1929</v>
      </c>
      <c r="B26" s="3223"/>
      <c r="C26" s="3223"/>
      <c r="D26" s="3223" t="s">
        <v>1930</v>
      </c>
      <c r="E26" s="3223"/>
      <c r="F26" s="322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2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2018-08-24T07:16:17Z</cp:lastPrinted>
  <dcterms:created xsi:type="dcterms:W3CDTF">2015-07-13T07:17:23Z</dcterms:created>
  <dcterms:modified xsi:type="dcterms:W3CDTF">2018-09-05T08:34:11Z</dcterms:modified>
</cp:coreProperties>
</file>