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<sst xmlns="http://schemas.openxmlformats.org/spreadsheetml/2006/main" count="7774" uniqueCount="2729">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</sst>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1"/>
      <name val="楷体_GB2312"/>
      <charset val="134"/>
    </font>
    <font>
      <sz val="12"/>
      <name val="仿宋_GB2312"/>
      <charset val="134"/>
    </font>
    <font>
      <sz val="16"/>
      <name val="宋体"/>
      <charset val="134"/>
    </font>
    <font>
      <sz val="12"/>
      <name val="宋体"/>
      <charset val="134"/>
    </font>
    <font>
      <sz val="9"/>
      <name val="宋体"/>
      <charset val="134"/>
    </font>
    <font>
      <sz val="14"/>
      <name val="楷体_GB2312"/>
      <charset val="134"/>
    </font>
    <font>
      <sz val="12"/>
      <name val="宋体"/>
      <charset val="0"/>
      <scheme val="minor"/>
    </font>
    <font>
      <sz val="12"/>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0" customWidth="1"/>
    <col min="2" max="2" width="81" style="3681" customWidth="1"/>
    <col min="3" max="16384" width="9" style="3682"/>
  </cols>
  <sheetData>
    <row r="1" s="3677" customFormat="1" ht="16.25" spans="1:2">
      <c r="A1" s="3683" t="s">
        <v>0</v>
      </c>
      <c r="B1" s="3684" t="s">
        <v>1</v>
      </c>
    </row>
    <row r="2" s="3678" customFormat="1" ht="15.75" spans="1:2">
      <c r="A2" s="3685" t="s">
        <v>2</v>
      </c>
      <c r="B2" s="3686" t="str">
        <f>'预评函-封皮'!B37:I37</f>
        <v>预评估</v>
      </c>
    </row>
    <row r="3" s="3679" customFormat="1" spans="1:2">
      <c r="A3" s="3687" t="s">
        <v>3</v>
      </c>
      <c r="B3" s="3688">
        <f>'预评函-封皮'!B40</f>
        <v>0</v>
      </c>
    </row>
    <row r="4" s="3679" customFormat="1" spans="1:2">
      <c r="A4" s="3687" t="s">
        <v>4</v>
      </c>
      <c r="B4" s="3688" t="str">
        <f ca="1">'预评函-封皮'!B46</f>
        <v>（注册号：0)、（注册号：0)</v>
      </c>
    </row>
    <row r="5" s="3677" customFormat="1" ht="15.75" spans="1:2">
      <c r="A5" s="3689" t="s">
        <v>5</v>
      </c>
      <c r="B5" s="3690" t="str">
        <f>'预评函-封皮'!B49</f>
        <v>康正预评字号</v>
      </c>
    </row>
    <row r="6" s="3678" customFormat="1" ht="15.75" spans="1:2">
      <c r="A6" s="3685" t="s">
        <v>6</v>
      </c>
      <c r="B6" s="3686" t="str">
        <f>'预评函-1'!A4</f>
        <v>受贵公司委托，我公司对进行了预评估。</v>
      </c>
    </row>
    <row r="7" s="3679" customFormat="1" spans="1:2">
      <c r="A7" s="3687" t="s">
        <v>7</v>
      </c>
      <c r="B7" s="3688" t="e">
        <f>'预评函-1'!A7</f>
        <v>#DIV/0!</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e">
        <f>'预评函-1'!A10</f>
        <v>#DIV/0!</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为估价委托人了解估价对象房地产市场价值提供参考依据。</v>
      </c>
    </row>
    <row r="12" s="3679" customFormat="1" spans="1:2">
      <c r="A12" s="3687" t="s">
        <v>12</v>
      </c>
      <c r="B12" s="3688" t="str">
        <f>'预评函-1'!A15</f>
        <v>（评估专业人员实地查勘之日）</v>
      </c>
    </row>
    <row r="13" s="3679" customFormat="1" spans="1:2">
      <c r="A13" s="3687" t="s">
        <v>13</v>
      </c>
      <c r="B13" s="3688"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75" spans="1:2">
      <c r="A18" s="3689" t="s">
        <v>18</v>
      </c>
      <c r="B18" s="3690" t="str">
        <f>'预评函-1'!A24</f>
        <v>本次评估采用的主估价方法为基准地价系数修正法和基准地价系数修正法。</v>
      </c>
    </row>
    <row r="19" s="3678" customFormat="1" ht="15.7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0</v>
      </c>
    </row>
    <row r="21" s="3679" customFormat="1" spans="1:2">
      <c r="A21" s="3687" t="s">
        <v>21</v>
      </c>
      <c r="B21" s="3688">
        <f ca="1">'预评函-2'!D7</f>
        <v>17000</v>
      </c>
    </row>
    <row r="22" s="3679" customFormat="1" spans="1:2">
      <c r="A22" s="3687" t="s">
        <v>22</v>
      </c>
      <c r="B22" s="3688" t="str">
        <f ca="1">'预评函-2'!D6</f>
        <v>零元整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0</v>
      </c>
    </row>
    <row r="31" s="3679" customFormat="1" spans="1:2">
      <c r="A31" s="3687" t="s">
        <v>31</v>
      </c>
      <c r="B31" s="3688">
        <f ca="1">'预评函-2'!D15</f>
        <v>17000</v>
      </c>
    </row>
    <row r="32" s="3679" customFormat="1" spans="1:2">
      <c r="A32" s="3687" t="s">
        <v>32</v>
      </c>
      <c r="B32" s="3688" t="str">
        <f ca="1">'预评函-2'!D14</f>
        <v>零元整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房地产</v>
      </c>
    </row>
    <row r="42" s="3679" customFormat="1" ht="30" spans="1:2">
      <c r="A42" s="3687" t="s">
        <v>42</v>
      </c>
      <c r="B42" s="3688" t="str">
        <f>'预评函-3'!B2</f>
        <v>建筑面积</v>
      </c>
    </row>
    <row r="43" s="3679" customFormat="1" spans="1:2">
      <c r="A43" s="3687" t="s">
        <v>43</v>
      </c>
      <c r="B43" s="3688">
        <f>'预评函-3'!B4</f>
        <v>0</v>
      </c>
    </row>
    <row r="44" s="3679" customFormat="1" ht="30" spans="1:2">
      <c r="A44" s="3687" t="s">
        <v>44</v>
      </c>
      <c r="B44" s="3688" t="str">
        <f>'预评函-3'!C2</f>
        <v>(分摊)土地面积</v>
      </c>
    </row>
    <row r="45" s="3679" customFormat="1" spans="1:2">
      <c r="A45" s="3687" t="s">
        <v>45</v>
      </c>
      <c r="B45" s="3688" t="e">
        <f>'预评函-3'!C4</f>
        <v>#DIV/0!</v>
      </c>
    </row>
    <row r="46" s="3679" customFormat="1" spans="1:2">
      <c r="A46" s="3687" t="s">
        <v>46</v>
      </c>
      <c r="B46" s="3688" t="str">
        <f>'预评函-3'!D2</f>
        <v>出让国有建设用地使用权价值</v>
      </c>
    </row>
    <row r="47" s="3679" customFormat="1" spans="1:2">
      <c r="A47" s="3687" t="s">
        <v>47</v>
      </c>
      <c r="B47" s="3688">
        <f ca="1">'预评函-3'!D4</f>
        <v>0</v>
      </c>
    </row>
    <row r="48" s="3679" customFormat="1" spans="1:2">
      <c r="A48" s="3687" t="s">
        <v>48</v>
      </c>
      <c r="B48" s="3688">
        <f ca="1">'预评函-3'!E4</f>
        <v>0</v>
      </c>
    </row>
    <row r="49" s="3679" customFormat="1" spans="1:2">
      <c r="A49" s="3687" t="s">
        <v>49</v>
      </c>
      <c r="B49" s="3688" t="str">
        <f ca="1">'预评函-3'!D5</f>
        <v>零元整</v>
      </c>
    </row>
    <row r="50" s="3679" customFormat="1" spans="1:2">
      <c r="A50" s="3687" t="s">
        <v>50</v>
      </c>
      <c r="B50" s="3688" t="str">
        <f>'预评函-3'!F2</f>
        <v>在建建筑物价值</v>
      </c>
    </row>
    <row r="51" s="3679" customFormat="1" spans="1:2">
      <c r="A51" s="3687" t="s">
        <v>51</v>
      </c>
      <c r="B51" s="3688">
        <f ca="1">'预评函-3'!F4</f>
        <v>0</v>
      </c>
    </row>
    <row r="52" s="3679" customFormat="1" spans="1:2">
      <c r="A52" s="3687" t="s">
        <v>52</v>
      </c>
      <c r="B52" s="3688">
        <f ca="1">'预评函-3'!G4</f>
        <v>0</v>
      </c>
    </row>
    <row r="53" s="3679" customFormat="1" spans="1:2">
      <c r="A53" s="3687" t="s">
        <v>53</v>
      </c>
      <c r="B53" s="3688" t="str">
        <f ca="1">'预评函-3'!F5</f>
        <v>零元整</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75" spans="1:2">
      <c r="A57" s="3689" t="s">
        <v>57</v>
      </c>
      <c r="B57" s="3690" t="str">
        <f>'预评函-3'!A6</f>
        <v>估价师知悉的法定优先受偿款</v>
      </c>
    </row>
    <row r="58" s="3678" customFormat="1" ht="15.75" spans="1:2">
      <c r="A58" s="3685" t="s">
        <v>58</v>
      </c>
      <c r="B58" s="3686" t="str">
        <f>'预评函-4'!A12</f>
        <v>2.本次评估设定估价对象房地产权属无争议，未被查封或者以其他形式限制其房地产权利，未设定抵押权等他项权利，不涉及第三方权利义务。</v>
      </c>
    </row>
    <row r="59" s="3679" customFormat="1" spans="1:2">
      <c r="A59" s="3687" t="s">
        <v>59</v>
      </c>
      <c r="B59" s="3688" t="str">
        <f>'预评函-4'!A13</f>
        <v>——</v>
      </c>
    </row>
    <row r="60" s="3679" customFormat="1" spans="1:2">
      <c r="A60" s="3687" t="s">
        <v>60</v>
      </c>
      <c r="B60" s="3688" t="str">
        <f>'预评函-4'!A14</f>
        <v>——</v>
      </c>
    </row>
    <row r="61" s="3679" customFormat="1" spans="1:2">
      <c r="A61" s="3687" t="s">
        <v>61</v>
      </c>
      <c r="B61" s="3688" t="str">
        <f>'预评函-4'!A15</f>
        <v>——</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v>
      </c>
    </row>
    <row r="65" s="3679" customFormat="1" spans="1:2">
      <c r="A65" s="3687" t="s">
        <v>65</v>
      </c>
      <c r="B65" s="36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75" spans="1:2">
      <c r="A69" s="3689" t="s">
        <v>69</v>
      </c>
      <c r="B69" s="3691">
        <f>'预评函-4'!C31</f>
        <v>42551</v>
      </c>
    </row>
    <row r="70" ht="15.75" spans="1:2">
      <c r="A70" s="3692" t="s">
        <v>70</v>
      </c>
      <c r="B70" s="3693">
        <f>'预评函-4'!A4</f>
        <v>0</v>
      </c>
    </row>
    <row r="71" spans="1:2">
      <c r="A71" s="3687" t="s">
        <v>71</v>
      </c>
      <c r="B71" s="3688">
        <f ca="1">'预评函-4'!B4</f>
        <v>0</v>
      </c>
    </row>
    <row r="72" spans="1:2">
      <c r="A72" s="3687" t="s">
        <v>72</v>
      </c>
      <c r="B72" s="3694">
        <f>'预评函-4'!A5</f>
        <v>0</v>
      </c>
    </row>
    <row r="73" s="3677" customFormat="1" ht="15.75" spans="1:2">
      <c r="A73" s="3689" t="s">
        <v>73</v>
      </c>
      <c r="B73" s="3690">
        <f ca="1">'预评函-4'!B5</f>
        <v>0</v>
      </c>
    </row>
    <row r="74" ht="15.7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0" customWidth="1"/>
    <col min="2" max="2" width="23.2545454545455" style="3521" customWidth="1"/>
    <col min="3" max="3" width="13" style="3522" customWidth="1"/>
    <col min="4" max="4" width="5.75454545454545" style="3523" customWidth="1"/>
    <col min="5" max="5" width="7.12727272727273" style="3523" customWidth="1"/>
    <col min="6" max="6" width="10.6272727272727" style="3523" customWidth="1"/>
    <col min="7" max="7" width="7.5" style="3523" customWidth="1"/>
    <col min="8" max="8" width="11.8727272727273" style="3522" customWidth="1"/>
    <col min="9" max="9" width="11.6272727272727" style="3522" customWidth="1"/>
    <col min="10" max="10" width="9" style="3522" customWidth="1"/>
    <col min="11" max="19" width="9" style="3523" customWidth="1"/>
    <col min="20" max="23" width="9" style="3522" customWidth="1"/>
    <col min="24" max="24" width="21.1272727272727" style="3521" customWidth="1"/>
    <col min="25" max="16384" width="9" style="3521"/>
  </cols>
  <sheetData>
    <row r="1" s="3519" customFormat="1" ht="42"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8"/>
    <col min="8" max="8" width="5.5" style="3468" customWidth="1"/>
    <col min="9" max="13" width="9.5" style="3469" customWidth="1"/>
    <col min="14" max="18" width="9.5" style="3468" customWidth="1"/>
    <col min="19" max="16384" width="15.254545454545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0</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40</v>
      </c>
      <c r="D5" s="3478">
        <f>IF(ISERROR(ROUND(POWER(1+E5,A5-C5)*(POWER(1+E5,C5)-1)/(POWER(1+E5,A5)-1),3)),0,ROUND(POWER(1+E5,A5-C5)*(POWER(1+E5,C5)-1)/(POWER(1+E5,A5)-1),4))</f>
        <v>1</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50</v>
      </c>
      <c r="D6" s="3478">
        <f>IF(ISERROR(ROUND(POWER(1+E6,A6-C6)*(POWER(1+E6,C6)-1)/(POWER(1+E6,A6)-1),3)),0,ROUND(POWER(1+E6,A6-C6)*(POWER(1+E6,C6)-1)/(POWER(1+E6,A6)-1),4))</f>
        <v>1</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70</v>
      </c>
      <c r="D7" s="3478">
        <f>IF(ISERROR(ROUND(POWER(1+E7,A7-C7)*(POWER(1+E7,C7)-1)/(POWER(1+E7,A7)-1),3)),0,ROUND(POWER(1+E7,A7-C7)*(POWER(1+E7,C7)-1)/(POWER(1+E7,A7)-1),4))</f>
        <v>1</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75" spans="1:6">
      <c r="A18" s="3484" t="s">
        <v>368</v>
      </c>
      <c r="B18" s="559">
        <f>ROUND(B17*F11/F12,2)</f>
        <v>5541.87</v>
      </c>
      <c r="C18" s="559">
        <f>ROUND(F11/F12,4)</f>
        <v>1.1522</v>
      </c>
      <c r="D18" s="3485"/>
      <c r="E18" s="3485"/>
      <c r="F18" s="3486"/>
    </row>
    <row r="19" ht="14.75"/>
    <row r="20" s="3467" customFormat="1" ht="14.7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7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75" spans="1:28">
      <c r="A1" s="3314" t="s">
        <v>425</v>
      </c>
      <c r="B1" s="3315" t="str">
        <f>IF(B10="北京市","北京市",C10)&amp;F10&amp;IF(结果表!G1="在建","出让国有建设用地使用权及在建建筑物",IF(结果表!G1="土地","出让国有建设用地使用权",))&amp;B9&amp;"预评估"</f>
        <v>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
      </c>
      <c r="T1" s="2923"/>
      <c r="U1" s="2923"/>
      <c r="V1" s="2923"/>
      <c r="W1" s="2923"/>
      <c r="X1" s="2923"/>
      <c r="Y1" s="2923"/>
      <c r="Z1" s="2923"/>
      <c r="AA1" s="2923"/>
      <c r="AB1" s="2923"/>
    </row>
    <row r="2" ht="13"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房地产</v>
      </c>
      <c r="T2" s="2923"/>
      <c r="U2" s="2923"/>
      <c r="V2" s="2923"/>
      <c r="W2" s="2923"/>
      <c r="X2" s="2923"/>
      <c r="Y2" s="2923"/>
      <c r="Z2" s="2923"/>
      <c r="AA2" s="2923"/>
      <c r="AB2" s="2923"/>
    </row>
    <row r="3" ht="13" spans="1:28">
      <c r="A3" s="2106" t="s">
        <v>427</v>
      </c>
      <c r="B3" s="3323"/>
      <c r="C3" s="3324" t="s">
        <v>428</v>
      </c>
      <c r="D3" s="3323"/>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432</v>
      </c>
      <c r="B7" s="3336"/>
      <c r="C7" s="3334"/>
      <c r="D7" s="3335"/>
      <c r="E7" s="3321"/>
      <c r="F7" s="3028"/>
      <c r="G7" s="3028"/>
      <c r="H7" s="3028"/>
      <c r="I7" s="3028"/>
      <c r="J7" s="2907"/>
      <c r="K7" s="3438"/>
      <c r="L7" s="3436"/>
      <c r="M7" s="3436"/>
      <c r="N7" s="2907"/>
      <c r="O7" s="3437"/>
      <c r="P7" s="2907"/>
      <c r="Q7" s="2907"/>
      <c r="R7" s="2907"/>
    </row>
    <row r="8" ht="13" spans="1:18">
      <c r="A8" s="3337" t="s">
        <v>433</v>
      </c>
      <c r="B8" s="3338"/>
      <c r="C8" s="3339"/>
      <c r="D8" s="3340" t="s">
        <v>434</v>
      </c>
      <c r="E8" s="3341"/>
      <c r="F8" s="3342"/>
      <c r="G8" s="3322"/>
      <c r="H8" s="3322"/>
      <c r="I8" s="3322"/>
      <c r="J8" s="2907"/>
      <c r="K8" s="3439"/>
      <c r="L8" s="3436"/>
      <c r="M8" s="3436"/>
      <c r="N8" s="2907"/>
      <c r="O8" s="3437"/>
      <c r="P8" s="2907"/>
      <c r="Q8" s="2907"/>
      <c r="R8" s="2907"/>
    </row>
    <row r="9" ht="13.75" spans="1:18">
      <c r="A9" s="3343" t="s">
        <v>435</v>
      </c>
      <c r="B9" s="3344"/>
      <c r="C9" s="3345"/>
      <c r="D9" s="3346"/>
      <c r="E9" s="3344"/>
      <c r="F9" s="3347"/>
      <c r="G9" s="3348"/>
      <c r="H9" s="3348"/>
      <c r="I9" s="3348"/>
      <c r="J9" s="2907"/>
      <c r="K9" s="3438"/>
      <c r="L9" s="3436"/>
      <c r="M9" s="3436"/>
      <c r="N9" s="2907"/>
      <c r="O9" s="3437"/>
      <c r="P9" s="2907"/>
      <c r="Q9" s="2907"/>
      <c r="R9" s="2907"/>
    </row>
    <row r="10" ht="13.75" spans="1:18">
      <c r="A10" s="3349" t="s">
        <v>436</v>
      </c>
      <c r="B10" s="3350"/>
      <c r="C10" s="3351"/>
      <c r="D10" s="3331"/>
      <c r="E10" s="3352" t="s">
        <v>437</v>
      </c>
      <c r="F10" s="3353"/>
      <c r="G10" s="3354"/>
      <c r="H10" s="3355"/>
      <c r="I10" s="3440"/>
      <c r="J10" s="2907"/>
      <c r="K10" s="3438"/>
      <c r="L10" s="3436"/>
      <c r="M10" s="3436"/>
      <c r="N10" s="2907"/>
      <c r="O10" s="3437"/>
      <c r="P10" s="2907"/>
      <c r="Q10" s="2907"/>
      <c r="R10" s="2907"/>
    </row>
    <row r="11" ht="13" spans="1:18">
      <c r="A11" s="3356" t="s">
        <v>438</v>
      </c>
      <c r="B11" s="3357"/>
      <c r="C11" s="3358"/>
      <c r="D11" s="3359"/>
      <c r="E11" s="3360"/>
      <c r="F11" s="3360"/>
      <c r="G11" s="3360"/>
      <c r="H11" s="3360"/>
      <c r="I11" s="3360"/>
      <c r="J11" s="3441"/>
      <c r="K11" s="3442"/>
      <c r="L11" s="3436"/>
      <c r="M11" s="3436"/>
      <c r="N11" s="2907"/>
      <c r="O11" s="3437"/>
      <c r="P11" s="2907"/>
      <c r="Q11" s="2907"/>
      <c r="R11" s="2907"/>
    </row>
    <row r="12" ht="13" spans="1:30">
      <c r="A12" s="3361" t="s">
        <v>439</v>
      </c>
      <c r="B12" s="2149" t="s">
        <v>440</v>
      </c>
      <c r="C12" s="3362" t="s">
        <v>441</v>
      </c>
      <c r="D12" s="3362" t="s">
        <v>442</v>
      </c>
      <c r="E12" s="3362" t="s">
        <v>443</v>
      </c>
      <c r="F12" s="3362" t="s">
        <v>444</v>
      </c>
      <c r="G12" s="3362" t="s">
        <v>445</v>
      </c>
      <c r="H12" s="3362" t="s">
        <v>446</v>
      </c>
      <c r="I12" s="3443" t="s">
        <v>280</v>
      </c>
      <c r="J12" s="3444"/>
      <c r="K12" s="3436"/>
      <c r="L12" s="3436"/>
      <c r="M12" s="2907"/>
      <c r="N12" s="3437"/>
      <c r="O12" s="2907"/>
      <c r="P12" s="2907"/>
      <c r="Q12" s="2907"/>
      <c r="AD12" s="2923"/>
    </row>
    <row r="13" ht="13" spans="1:30">
      <c r="A13" s="3363" t="s">
        <v>447</v>
      </c>
      <c r="B13" s="3364" t="s">
        <v>448</v>
      </c>
      <c r="C13" s="3365"/>
      <c r="D13" s="3365"/>
      <c r="E13" s="3365"/>
      <c r="F13" s="3365"/>
      <c r="G13" s="3365"/>
      <c r="H13" s="3365"/>
      <c r="I13" s="3365"/>
      <c r="J13" s="3444"/>
      <c r="K13" s="3436"/>
      <c r="L13" s="3436"/>
      <c r="M13" s="2907"/>
      <c r="N13" s="3437"/>
      <c r="O13" s="2907"/>
      <c r="P13" s="2907"/>
      <c r="Q13" s="2907"/>
      <c r="AD13" s="2923"/>
    </row>
    <row r="14" ht="13" spans="1:30">
      <c r="A14" s="2135"/>
      <c r="B14" s="3364" t="s">
        <v>449</v>
      </c>
      <c r="C14" s="3366"/>
      <c r="D14" s="3366"/>
      <c r="E14" s="3366"/>
      <c r="F14" s="3366"/>
      <c r="G14" s="3366"/>
      <c r="H14" s="3366"/>
      <c r="I14" s="3366"/>
      <c r="J14" s="3445"/>
      <c r="K14" s="3436"/>
      <c r="L14" s="3436"/>
      <c r="M14" s="2907"/>
      <c r="N14" s="3437"/>
      <c r="O14" s="2907"/>
      <c r="P14" s="2907"/>
      <c r="Q14" s="2907"/>
      <c r="AD14" s="2923"/>
    </row>
    <row r="15" ht="13" spans="1:30">
      <c r="A15" s="2142"/>
      <c r="B15" s="3367" t="s">
        <v>450</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ht="13" spans="1:18">
      <c r="A16" s="3352" t="s">
        <v>451</v>
      </c>
      <c r="B16" s="3369"/>
      <c r="C16" s="3370"/>
      <c r="D16" s="3371"/>
      <c r="E16" s="3372" t="s">
        <v>452</v>
      </c>
      <c r="F16" s="3373"/>
      <c r="G16" s="3374"/>
      <c r="H16" s="3374"/>
      <c r="I16" s="3448"/>
      <c r="J16" s="2907"/>
      <c r="K16" s="3449"/>
      <c r="L16" s="3447"/>
      <c r="M16" s="3447"/>
      <c r="N16" s="2908"/>
      <c r="O16" s="3447"/>
      <c r="P16" s="2908"/>
      <c r="Q16" s="2907"/>
      <c r="R16" s="2907"/>
    </row>
    <row r="17" ht="13" spans="1:22">
      <c r="A17" s="2119" t="s">
        <v>453</v>
      </c>
      <c r="B17" s="2106" t="s">
        <v>454</v>
      </c>
      <c r="C17" s="1050">
        <f>'数据-汇总表'!E3</f>
        <v>0</v>
      </c>
      <c r="D17" s="2162" t="s">
        <v>455</v>
      </c>
      <c r="E17" s="3375" t="s">
        <v>456</v>
      </c>
      <c r="F17" s="3376"/>
      <c r="G17" s="3376"/>
      <c r="H17" s="3376"/>
      <c r="I17" s="3450"/>
      <c r="J17" s="2907"/>
      <c r="K17" s="3451"/>
      <c r="L17" s="3447"/>
      <c r="M17" s="3447"/>
      <c r="N17" s="2908"/>
      <c r="O17" s="3447"/>
      <c r="P17" s="2908"/>
      <c r="Q17" s="2907"/>
      <c r="R17" s="2907"/>
      <c r="S17" s="2907"/>
      <c r="T17" s="2907"/>
      <c r="U17" s="2907"/>
      <c r="V17" s="2907"/>
    </row>
    <row r="18" ht="26.75" spans="1:22">
      <c r="A18" s="3377" t="s">
        <v>457</v>
      </c>
      <c r="B18" s="2130" t="s">
        <v>458</v>
      </c>
      <c r="C18" s="3378" t="e">
        <f>'数据-汇总表'!D3</f>
        <v>#DIV/0!</v>
      </c>
      <c r="D18" s="2155" t="s">
        <v>455</v>
      </c>
      <c r="E18" s="3379" t="s">
        <v>459</v>
      </c>
      <c r="F18" s="3380"/>
      <c r="G18" s="3380"/>
      <c r="H18" s="3380"/>
      <c r="I18" s="3452"/>
      <c r="J18" s="2907"/>
      <c r="K18" s="3451"/>
      <c r="L18" s="3447"/>
      <c r="M18" s="3447"/>
      <c r="N18" s="2908"/>
      <c r="O18" s="3447"/>
      <c r="P18" s="2908"/>
      <c r="Q18" s="2907"/>
      <c r="R18" s="2907"/>
      <c r="S18" s="2907"/>
      <c r="T18" s="2907"/>
      <c r="U18" s="2907"/>
      <c r="V18" s="2907"/>
    </row>
    <row r="19" ht="40.5" spans="1:22">
      <c r="A19" s="2172" t="s">
        <v>460</v>
      </c>
      <c r="B19" s="2111" t="s">
        <v>461</v>
      </c>
      <c r="C19" s="3381"/>
      <c r="D19" s="3382" t="s">
        <v>462</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463</v>
      </c>
      <c r="B20" s="3387" t="s">
        <v>464</v>
      </c>
      <c r="C20" s="3388"/>
      <c r="D20" s="3389" t="s">
        <v>465</v>
      </c>
      <c r="E20" s="3390"/>
      <c r="F20" s="3391" t="s">
        <v>466</v>
      </c>
      <c r="G20" s="3028"/>
      <c r="H20" s="3028"/>
      <c r="I20" s="3028"/>
      <c r="J20" s="2907"/>
      <c r="K20" s="3234" t="s">
        <v>467</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468</v>
      </c>
      <c r="C21" s="3393" t="s">
        <v>469</v>
      </c>
      <c r="D21" s="3394" t="s">
        <v>470</v>
      </c>
      <c r="E21" s="3395" t="s">
        <v>469</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471</v>
      </c>
      <c r="C22" s="3393" t="s">
        <v>472</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473</v>
      </c>
      <c r="B23" s="2898" t="s">
        <v>474</v>
      </c>
      <c r="C23" s="3399"/>
      <c r="D23" s="3400" t="s">
        <v>474</v>
      </c>
      <c r="E23" s="3401"/>
      <c r="F23" s="3322"/>
      <c r="G23" s="3028"/>
      <c r="H23" s="3028"/>
      <c r="I23" s="3028"/>
      <c r="J23" s="2907"/>
      <c r="K23" s="3455"/>
      <c r="L23" s="2271"/>
      <c r="M23" s="3436"/>
      <c r="N23" s="2908"/>
      <c r="O23" s="3447"/>
      <c r="P23" s="2908"/>
      <c r="Q23" s="2907"/>
      <c r="R23" s="2907"/>
      <c r="S23" s="2907"/>
      <c r="T23" s="2907"/>
      <c r="U23" s="2907"/>
      <c r="V23" s="2907"/>
    </row>
    <row r="24" ht="13" spans="1:22">
      <c r="A24" s="3398"/>
      <c r="B24" s="2898" t="s">
        <v>475</v>
      </c>
      <c r="C24" s="3402"/>
      <c r="D24" s="3398" t="s">
        <v>475</v>
      </c>
      <c r="E24" s="3403"/>
      <c r="F24" s="3322"/>
      <c r="G24" s="3028"/>
      <c r="H24" s="3028"/>
      <c r="I24" s="3028"/>
      <c r="J24" s="2907"/>
      <c r="K24" s="3455"/>
      <c r="L24" s="2271"/>
      <c r="M24" s="3436"/>
      <c r="N24" s="2908"/>
      <c r="O24" s="3447"/>
      <c r="P24" s="2908"/>
      <c r="Q24" s="2907"/>
      <c r="R24" s="2907"/>
      <c r="S24" s="2907"/>
      <c r="T24" s="2907"/>
      <c r="U24" s="2907"/>
      <c r="V24" s="2907"/>
    </row>
    <row r="25" ht="13" spans="1:22">
      <c r="A25" s="3398"/>
      <c r="B25" s="2898" t="s">
        <v>476</v>
      </c>
      <c r="C25" s="3402"/>
      <c r="D25" s="3398" t="s">
        <v>476</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477</v>
      </c>
      <c r="C26" s="3406"/>
      <c r="D26" s="3404" t="s">
        <v>477</v>
      </c>
      <c r="E26" s="3407"/>
      <c r="F26" s="3348"/>
      <c r="G26" s="3348"/>
      <c r="H26" s="3348"/>
      <c r="I26" s="3348"/>
      <c r="J26" s="2907"/>
      <c r="K26" s="3438"/>
      <c r="L26" s="3436"/>
      <c r="M26" s="3436"/>
      <c r="N26" s="2908"/>
      <c r="O26" s="3447"/>
      <c r="P26" s="2908"/>
      <c r="Q26" s="2907"/>
      <c r="R26" s="2907"/>
      <c r="S26" s="2907"/>
      <c r="T26" s="2907"/>
      <c r="U26" s="2907"/>
      <c r="V26" s="2907"/>
    </row>
    <row r="27" ht="13.75" spans="1:22">
      <c r="A27" s="2135" t="s">
        <v>478</v>
      </c>
      <c r="B27" s="2142" t="s">
        <v>479</v>
      </c>
      <c r="C27" s="3408"/>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2135"/>
      <c r="B28" s="2106" t="s">
        <v>480</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2135"/>
      <c r="B29" s="2106" t="s">
        <v>481</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2142"/>
      <c r="B30" s="2106" t="s">
        <v>482</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483</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ht="13" spans="1:22">
      <c r="A34" s="2106" t="s">
        <v>484</v>
      </c>
      <c r="B34" s="607"/>
      <c r="C34" s="607"/>
      <c r="D34" s="607"/>
      <c r="E34" s="607"/>
      <c r="F34" s="607"/>
      <c r="G34" s="607"/>
      <c r="H34" s="607"/>
      <c r="I34" s="3028"/>
      <c r="J34" s="2907"/>
      <c r="K34" s="1050">
        <f>COUNTIF(B34:H34,"——")</f>
        <v>0</v>
      </c>
      <c r="L34" s="2149" t="s">
        <v>485</v>
      </c>
      <c r="M34" s="2149" t="s">
        <v>486</v>
      </c>
      <c r="N34" s="2149" t="s">
        <v>487</v>
      </c>
      <c r="O34" s="2149" t="s">
        <v>488</v>
      </c>
      <c r="P34" s="2149" t="s">
        <v>489</v>
      </c>
      <c r="Q34" s="2149" t="s">
        <v>490</v>
      </c>
      <c r="R34" s="2149" t="s">
        <v>491</v>
      </c>
      <c r="S34" s="1050" t="s">
        <v>492</v>
      </c>
      <c r="T34" s="2149" t="str">
        <f>NUMBERSTRING(7-K34,1)&amp;"通"</f>
        <v>七通</v>
      </c>
      <c r="U34" s="2907"/>
      <c r="V34" s="2907"/>
    </row>
    <row r="35" spans="1:22">
      <c r="A35" s="3421"/>
      <c r="B35" s="1108" t="s">
        <v>493</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2"/>
      <c r="B36" s="1108" t="s">
        <v>442</v>
      </c>
      <c r="C36" s="1108" t="s">
        <v>443</v>
      </c>
      <c r="D36" s="1108" t="s">
        <v>441</v>
      </c>
      <c r="E36" s="1108" t="s">
        <v>446</v>
      </c>
      <c r="F36" s="3423" t="s">
        <v>280</v>
      </c>
      <c r="G36" s="3028"/>
      <c r="H36" s="3028"/>
      <c r="I36" s="3028"/>
      <c r="J36" s="2907"/>
      <c r="K36" s="3438"/>
      <c r="L36" s="3436"/>
      <c r="M36" s="3436"/>
      <c r="N36" s="2907"/>
      <c r="O36" s="3437"/>
      <c r="P36" s="2907"/>
      <c r="Q36" s="2907"/>
      <c r="R36" s="2907"/>
      <c r="S36" s="2907"/>
      <c r="T36" s="2907"/>
      <c r="U36" s="2907"/>
      <c r="V36" s="2907"/>
    </row>
    <row r="37" ht="13" spans="1:22">
      <c r="A37" s="3424" t="s">
        <v>494</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75" spans="1:22">
      <c r="A38" s="3426" t="s">
        <v>495</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496</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ht="13" spans="1:22">
      <c r="A41" s="3430" t="s">
        <v>497</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2149" t="s">
        <v>498</v>
      </c>
      <c r="B42" s="1050" t="s">
        <v>499</v>
      </c>
      <c r="C42" s="1050" t="s">
        <v>500</v>
      </c>
      <c r="D42" s="1050" t="s">
        <v>501</v>
      </c>
      <c r="E42" s="1050" t="s">
        <v>502</v>
      </c>
      <c r="F42" s="1050" t="s">
        <v>503</v>
      </c>
      <c r="G42" s="1050" t="s">
        <v>504</v>
      </c>
      <c r="H42" s="1050" t="s">
        <v>505</v>
      </c>
      <c r="I42" s="1050" t="s">
        <v>506</v>
      </c>
      <c r="J42" s="3459" t="s">
        <v>507</v>
      </c>
      <c r="K42" s="3460" t="s">
        <v>508</v>
      </c>
      <c r="L42" s="3460" t="s">
        <v>509</v>
      </c>
      <c r="M42" s="3460" t="s">
        <v>510</v>
      </c>
      <c r="N42" s="3461" t="s">
        <v>511</v>
      </c>
      <c r="O42" s="3461" t="s">
        <v>512</v>
      </c>
      <c r="P42" s="3461" t="s">
        <v>513</v>
      </c>
      <c r="Q42" s="3466" t="s">
        <v>514</v>
      </c>
      <c r="R42" s="3466" t="s">
        <v>515</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20" customWidth="1"/>
    <col min="2" max="2" width="11" style="3220" customWidth="1"/>
    <col min="3" max="3" width="10.3727272727273" style="3220" customWidth="1"/>
    <col min="4" max="4" width="9.12727272727273" style="3220" customWidth="1"/>
    <col min="5" max="6" width="10" style="3218" customWidth="1"/>
    <col min="7" max="8" width="10" style="3220" customWidth="1"/>
    <col min="9" max="9" width="10.6272727272727" style="3220" customWidth="1"/>
    <col min="10" max="10" width="9.5" style="3220" customWidth="1"/>
    <col min="11" max="11" width="11" style="3220" customWidth="1"/>
    <col min="12" max="14" width="9.5" style="3220" customWidth="1"/>
    <col min="15" max="15" width="9.87272727272727" style="3220" customWidth="1"/>
    <col min="16" max="16" width="9.75454545454545" style="3220" customWidth="1"/>
    <col min="17" max="17" width="9.37272727272727" style="3220" customWidth="1"/>
    <col min="18" max="18" width="9.25454545454545" style="3220" customWidth="1"/>
    <col min="19" max="19" width="10.8727272727273" style="3220" customWidth="1"/>
    <col min="20" max="21" width="10.7545454545455" style="3220" customWidth="1"/>
    <col min="22" max="22" width="10.8727272727273" style="3220" customWidth="1"/>
    <col min="23" max="27" width="10.7545454545455" style="3220" customWidth="1"/>
    <col min="28" max="28" width="10.8727272727273" style="3220" customWidth="1"/>
    <col min="29" max="29" width="11" style="3220" customWidth="1"/>
    <col min="30" max="30" width="10" style="3220" customWidth="1"/>
    <col min="31" max="31" width="9.75454545454545" style="3220" customWidth="1"/>
    <col min="32" max="46" width="9.5" style="3220" customWidth="1"/>
    <col min="47" max="47" width="18.1272727272727" style="3220" customWidth="1"/>
    <col min="48" max="50" width="9.75454545454545" style="3220" customWidth="1"/>
    <col min="51" max="55" width="10.5" style="3220" customWidth="1"/>
    <col min="56" max="56" width="9.5" style="3220" customWidth="1"/>
    <col min="57" max="63" width="9.12727272727273" style="3220" customWidth="1"/>
    <col min="64" max="64" width="9.5" style="3220" customWidth="1"/>
    <col min="65" max="65" width="9.12727272727273" style="3220" customWidth="1"/>
    <col min="66" max="66" width="9.5" style="3220" customWidth="1"/>
    <col min="67" max="69" width="9.12727272727273" style="3220" customWidth="1"/>
    <col min="70" max="70" width="9.5" style="3220" customWidth="1"/>
    <col min="71" max="71" width="9" style="3220" customWidth="1"/>
    <col min="72" max="72" width="9.12727272727273" style="3220" customWidth="1"/>
    <col min="73" max="16384" width="8.87272727272727" style="3220"/>
  </cols>
  <sheetData>
    <row r="1" ht="21" spans="1:72">
      <c r="A1" s="3221" t="s">
        <v>516</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517</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050" t="s">
        <v>458</v>
      </c>
      <c r="B2" s="1050" t="s">
        <v>454</v>
      </c>
      <c r="C2" s="1050" t="s">
        <v>518</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519</v>
      </c>
      <c r="AZ2" s="3285" t="s">
        <v>520</v>
      </c>
      <c r="BA2" s="1050" t="s">
        <v>521</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c r="B3" s="3225">
        <f>IF(C3="否",G5-AT5,G5)</f>
        <v>0</v>
      </c>
      <c r="C3" s="3226" t="s">
        <v>522</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2262" t="s">
        <v>523</v>
      </c>
      <c r="B5" s="2495"/>
      <c r="C5" s="2495"/>
      <c r="D5" s="2648"/>
      <c r="E5" s="3230" t="s">
        <v>124</v>
      </c>
      <c r="F5" s="3230">
        <f>SUM(F13:F587)</f>
        <v>0</v>
      </c>
      <c r="G5" s="3230">
        <f>SUM(G13:G587)</f>
        <v>0</v>
      </c>
      <c r="H5" s="3230">
        <f t="shared" ref="H5:AT5" si="0">SUM(H13:H656)</f>
        <v>0</v>
      </c>
      <c r="I5" s="3230">
        <f t="shared" si="0"/>
        <v>0</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523</v>
      </c>
      <c r="AW5" s="2495"/>
      <c r="AX5" s="2495"/>
      <c r="AY5" s="3289" t="s">
        <v>124</v>
      </c>
      <c r="AZ5" s="3290">
        <f t="shared" ref="AZ5:BT5" si="1">SUM(AZ13:AZ656)</f>
        <v>0</v>
      </c>
      <c r="BA5" s="3290">
        <f t="shared" si="1"/>
        <v>0</v>
      </c>
      <c r="BB5" s="3290">
        <f t="shared" si="1"/>
        <v>0</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2262" t="s">
        <v>524</v>
      </c>
      <c r="B6" s="3231"/>
      <c r="C6" s="3231"/>
      <c r="D6" s="3232"/>
      <c r="E6" s="3230" t="e">
        <f>H6+AC6+AT6</f>
        <v>#DIV/0!</v>
      </c>
      <c r="F6" s="3230" t="s">
        <v>124</v>
      </c>
      <c r="G6" s="3230" t="s">
        <v>124</v>
      </c>
      <c r="H6" s="3233" t="e">
        <f>SUMIF(I$12:AB$12,"总值",I6:AB6)</f>
        <v>#DIV/0!</v>
      </c>
      <c r="I6" s="3230" t="e">
        <f t="shared" ref="I6:AB6" si="2">ROUND($A$3*I5/$B$3,2)</f>
        <v>#DIV/0!</v>
      </c>
      <c r="J6" s="3230" t="e">
        <f t="shared" si="2"/>
        <v>#DIV/0!</v>
      </c>
      <c r="K6" s="3230" t="e">
        <f t="shared" si="2"/>
        <v>#DIV/0!</v>
      </c>
      <c r="L6" s="3230" t="e">
        <f t="shared" si="2"/>
        <v>#DIV/0!</v>
      </c>
      <c r="M6" s="3230" t="e">
        <f t="shared" si="2"/>
        <v>#DIV/0!</v>
      </c>
      <c r="N6" s="3230" t="e">
        <f t="shared" si="2"/>
        <v>#DIV/0!</v>
      </c>
      <c r="O6" s="3230" t="e">
        <f t="shared" si="2"/>
        <v>#DIV/0!</v>
      </c>
      <c r="P6" s="3230" t="e">
        <f t="shared" si="2"/>
        <v>#DIV/0!</v>
      </c>
      <c r="Q6" s="3230" t="e">
        <f t="shared" si="2"/>
        <v>#DIV/0!</v>
      </c>
      <c r="R6" s="3230" t="e">
        <f t="shared" si="2"/>
        <v>#DIV/0!</v>
      </c>
      <c r="S6" s="3230" t="e">
        <f t="shared" si="2"/>
        <v>#DIV/0!</v>
      </c>
      <c r="T6" s="3230" t="e">
        <f t="shared" si="2"/>
        <v>#DIV/0!</v>
      </c>
      <c r="U6" s="3230" t="e">
        <f t="shared" si="2"/>
        <v>#DIV/0!</v>
      </c>
      <c r="V6" s="3230" t="e">
        <f t="shared" si="2"/>
        <v>#DIV/0!</v>
      </c>
      <c r="W6" s="3230" t="e">
        <f t="shared" si="2"/>
        <v>#DIV/0!</v>
      </c>
      <c r="X6" s="3230" t="e">
        <f t="shared" si="2"/>
        <v>#DIV/0!</v>
      </c>
      <c r="Y6" s="3230" t="e">
        <f t="shared" si="2"/>
        <v>#DIV/0!</v>
      </c>
      <c r="Z6" s="3230" t="e">
        <f t="shared" si="2"/>
        <v>#DIV/0!</v>
      </c>
      <c r="AA6" s="3230" t="e">
        <f t="shared" si="2"/>
        <v>#DIV/0!</v>
      </c>
      <c r="AB6" s="3230" t="e">
        <f t="shared" si="2"/>
        <v>#DIV/0!</v>
      </c>
      <c r="AC6" s="3233" t="e">
        <f>SUMIF(AD$12:AS$12,"总值",AD6:AS6)</f>
        <v>#DIV/0!</v>
      </c>
      <c r="AD6" s="3230" t="e">
        <f t="shared" ref="AD6:AS6" si="3">ROUND($A$3*AD5/$B$3,2)</f>
        <v>#DIV/0!</v>
      </c>
      <c r="AE6" s="3230" t="e">
        <f t="shared" si="3"/>
        <v>#DIV/0!</v>
      </c>
      <c r="AF6" s="3230" t="e">
        <f t="shared" si="3"/>
        <v>#DIV/0!</v>
      </c>
      <c r="AG6" s="3230" t="e">
        <f t="shared" si="3"/>
        <v>#DIV/0!</v>
      </c>
      <c r="AH6" s="3230" t="e">
        <f t="shared" si="3"/>
        <v>#DIV/0!</v>
      </c>
      <c r="AI6" s="3230" t="e">
        <f t="shared" si="3"/>
        <v>#DIV/0!</v>
      </c>
      <c r="AJ6" s="3230" t="e">
        <f t="shared" si="3"/>
        <v>#DIV/0!</v>
      </c>
      <c r="AK6" s="3230" t="e">
        <f t="shared" si="3"/>
        <v>#DIV/0!</v>
      </c>
      <c r="AL6" s="3230" t="e">
        <f t="shared" si="3"/>
        <v>#DIV/0!</v>
      </c>
      <c r="AM6" s="3230" t="e">
        <f t="shared" si="3"/>
        <v>#DIV/0!</v>
      </c>
      <c r="AN6" s="3230" t="e">
        <f t="shared" si="3"/>
        <v>#DIV/0!</v>
      </c>
      <c r="AO6" s="3230" t="e">
        <f t="shared" si="3"/>
        <v>#DIV/0!</v>
      </c>
      <c r="AP6" s="3230" t="e">
        <f t="shared" si="3"/>
        <v>#DIV/0!</v>
      </c>
      <c r="AQ6" s="3230" t="e">
        <f t="shared" si="3"/>
        <v>#DIV/0!</v>
      </c>
      <c r="AR6" s="3230" t="e">
        <f t="shared" si="3"/>
        <v>#DIV/0!</v>
      </c>
      <c r="AS6" s="3230" t="e">
        <f t="shared" si="3"/>
        <v>#DIV/0!</v>
      </c>
      <c r="AT6" s="3233">
        <f>IF(C3="是",ROUND($A$3*AT5/$B$3,2),0)</f>
        <v>0</v>
      </c>
      <c r="AU6" s="3275"/>
      <c r="AV6" s="2262" t="s">
        <v>524</v>
      </c>
      <c r="AW6" s="3231"/>
      <c r="AX6" s="3231"/>
      <c r="AY6" s="3291" t="e">
        <f>IF(AY3&gt;0,AY3,ROUND($A$3*AZ5/$B$3,2))</f>
        <v>#DIV/0!</v>
      </c>
      <c r="AZ6" s="3230" t="s">
        <v>124</v>
      </c>
      <c r="BA6" s="3230" t="e">
        <f>ROUND($AY$6*BA5/$AZ$5,2)</f>
        <v>#DIV/0!</v>
      </c>
      <c r="BB6" s="3230" t="e">
        <f>ROUND($AY$6*BB5/$AZ$5,2)</f>
        <v>#DIV/0!</v>
      </c>
      <c r="BC6" s="3230" t="e">
        <f t="shared" ref="BC6:BH6" si="4">ROUND($AY$6*BC5/$AZ$5,2)</f>
        <v>#DIV/0!</v>
      </c>
      <c r="BD6" s="3230" t="e">
        <f t="shared" si="4"/>
        <v>#DIV/0!</v>
      </c>
      <c r="BE6" s="3230" t="e">
        <f t="shared" si="4"/>
        <v>#DIV/0!</v>
      </c>
      <c r="BF6" s="3230" t="e">
        <f t="shared" si="4"/>
        <v>#DIV/0!</v>
      </c>
      <c r="BG6" s="3230" t="e">
        <f t="shared" si="4"/>
        <v>#DIV/0!</v>
      </c>
      <c r="BH6" s="3230" t="e">
        <f t="shared" si="4"/>
        <v>#DIV/0!</v>
      </c>
      <c r="BI6" s="3230" t="e">
        <f t="shared" ref="BI6:BT6" si="5">ROUND($AY$6*BI5/$AZ$5,2)</f>
        <v>#DIV/0!</v>
      </c>
      <c r="BJ6" s="3230" t="e">
        <f t="shared" si="5"/>
        <v>#DIV/0!</v>
      </c>
      <c r="BK6" s="3230" t="e">
        <f t="shared" si="5"/>
        <v>#DIV/0!</v>
      </c>
      <c r="BL6" s="3230" t="e">
        <f t="shared" si="5"/>
        <v>#DIV/0!</v>
      </c>
      <c r="BM6" s="3230" t="e">
        <f t="shared" si="5"/>
        <v>#DIV/0!</v>
      </c>
      <c r="BN6" s="3230" t="e">
        <f t="shared" si="5"/>
        <v>#DIV/0!</v>
      </c>
      <c r="BO6" s="3230" t="e">
        <f t="shared" si="5"/>
        <v>#DIV/0!</v>
      </c>
      <c r="BP6" s="3230" t="e">
        <f t="shared" si="5"/>
        <v>#DIV/0!</v>
      </c>
      <c r="BQ6" s="3230" t="e">
        <f t="shared" si="5"/>
        <v>#DIV/0!</v>
      </c>
      <c r="BR6" s="3230" t="e">
        <f t="shared" si="5"/>
        <v>#DIV/0!</v>
      </c>
      <c r="BS6" s="3230" t="e">
        <f t="shared" si="5"/>
        <v>#DIV/0!</v>
      </c>
      <c r="BT6" s="3300" t="e">
        <f t="shared" si="5"/>
        <v>#DIV/0!</v>
      </c>
    </row>
    <row r="7" s="3215" customFormat="1" ht="26" spans="1:72">
      <c r="A7" s="3234" t="s">
        <v>525</v>
      </c>
      <c r="B7" s="3234" t="s">
        <v>526</v>
      </c>
      <c r="C7" s="3234" t="s">
        <v>499</v>
      </c>
      <c r="D7" s="3234" t="s">
        <v>527</v>
      </c>
      <c r="E7" s="3234" t="s">
        <v>524</v>
      </c>
      <c r="F7" s="3234" t="s">
        <v>528</v>
      </c>
      <c r="G7" s="2608" t="s">
        <v>529</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530</v>
      </c>
      <c r="AV7" s="3276" t="s">
        <v>525</v>
      </c>
      <c r="AW7" s="2634" t="s">
        <v>526</v>
      </c>
      <c r="AX7" s="3276" t="s">
        <v>499</v>
      </c>
      <c r="AY7" s="2495" t="s">
        <v>531</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532</v>
      </c>
      <c r="H8" s="3238" t="s">
        <v>533</v>
      </c>
      <c r="I8" s="3256"/>
      <c r="J8" s="1049"/>
      <c r="K8" s="1049"/>
      <c r="L8" s="1049"/>
      <c r="M8" s="1049"/>
      <c r="N8" s="1049"/>
      <c r="O8" s="1049"/>
      <c r="P8" s="1049"/>
      <c r="Q8" s="1049"/>
      <c r="R8" s="1049"/>
      <c r="S8" s="1049"/>
      <c r="T8" s="1049"/>
      <c r="U8" s="1049"/>
      <c r="V8" s="3263"/>
      <c r="W8" s="1049"/>
      <c r="X8" s="1049"/>
      <c r="Y8" s="1049"/>
      <c r="Z8" s="1049"/>
      <c r="AA8" s="3263"/>
      <c r="AB8" s="3265"/>
      <c r="AC8" s="2413" t="s">
        <v>534</v>
      </c>
      <c r="AD8" s="3266"/>
      <c r="AE8" s="3267"/>
      <c r="AF8" s="1049"/>
      <c r="AG8" s="1049"/>
      <c r="AH8" s="1049"/>
      <c r="AI8" s="1049"/>
      <c r="AJ8" s="1049"/>
      <c r="AK8" s="1049"/>
      <c r="AL8" s="1049"/>
      <c r="AM8" s="1049"/>
      <c r="AN8" s="1049"/>
      <c r="AO8" s="1049"/>
      <c r="AP8" s="1049"/>
      <c r="AQ8" s="1049"/>
      <c r="AR8" s="1049"/>
      <c r="AS8" s="1049"/>
      <c r="AT8" s="2098" t="s">
        <v>535</v>
      </c>
      <c r="AU8" s="3236" t="s">
        <v>536</v>
      </c>
      <c r="AV8" s="2098"/>
      <c r="AW8" s="2582"/>
      <c r="AX8" s="2098"/>
      <c r="AY8" s="2634" t="s">
        <v>524</v>
      </c>
      <c r="AZ8" s="1048" t="s">
        <v>454</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6"/>
      <c r="B9" s="3236"/>
      <c r="C9" s="3236"/>
      <c r="D9" s="3236"/>
      <c r="E9" s="3236"/>
      <c r="F9" s="3236"/>
      <c r="G9" s="2098"/>
      <c r="H9" s="3239" t="s">
        <v>537</v>
      </c>
      <c r="I9" s="3257"/>
      <c r="J9" s="2413"/>
      <c r="K9" s="3257"/>
      <c r="L9" s="2413"/>
      <c r="M9" s="3257"/>
      <c r="N9" s="2413"/>
      <c r="O9" s="3257"/>
      <c r="P9" s="2413"/>
      <c r="Q9" s="3257"/>
      <c r="R9" s="2413"/>
      <c r="S9" s="3257"/>
      <c r="T9" s="2413"/>
      <c r="U9" s="3257"/>
      <c r="V9" s="2413"/>
      <c r="W9" s="3257"/>
      <c r="X9" s="3264"/>
      <c r="Y9" s="3257"/>
      <c r="Z9" s="2413"/>
      <c r="AA9" s="3257"/>
      <c r="AB9" s="2413"/>
      <c r="AC9" s="3237" t="s">
        <v>537</v>
      </c>
      <c r="AD9" s="2262" t="s">
        <v>538</v>
      </c>
      <c r="AE9" s="2112"/>
      <c r="AF9" s="2262" t="s">
        <v>539</v>
      </c>
      <c r="AG9" s="2112"/>
      <c r="AH9" s="2262" t="s">
        <v>538</v>
      </c>
      <c r="AI9" s="2112"/>
      <c r="AJ9" s="2262" t="s">
        <v>539</v>
      </c>
      <c r="AK9" s="2112"/>
      <c r="AL9" s="2262" t="s">
        <v>538</v>
      </c>
      <c r="AM9" s="2112"/>
      <c r="AN9" s="2262" t="s">
        <v>539</v>
      </c>
      <c r="AO9" s="2112"/>
      <c r="AP9" s="2262" t="s">
        <v>538</v>
      </c>
      <c r="AQ9" s="2112"/>
      <c r="AR9" s="2262" t="s">
        <v>539</v>
      </c>
      <c r="AS9" s="3277"/>
      <c r="AT9" s="3236"/>
      <c r="AU9" s="3236" t="s">
        <v>540</v>
      </c>
      <c r="AV9" s="2098"/>
      <c r="AW9" s="2582"/>
      <c r="AX9" s="2098"/>
      <c r="AY9" s="3240"/>
      <c r="AZ9" s="3240" t="s">
        <v>532</v>
      </c>
      <c r="BA9" s="3292" t="s">
        <v>541</v>
      </c>
      <c r="BB9" s="3293"/>
      <c r="BC9" s="2159"/>
      <c r="BD9" s="2159"/>
      <c r="BE9" s="2159"/>
      <c r="BF9" s="2159"/>
      <c r="BG9" s="2159"/>
      <c r="BH9" s="2159"/>
      <c r="BI9" s="2159"/>
      <c r="BJ9" s="2159"/>
      <c r="BK9" s="3298"/>
      <c r="BL9" s="2262" t="s">
        <v>542</v>
      </c>
      <c r="BM9" s="1049"/>
      <c r="BN9" s="3256"/>
      <c r="BO9" s="1049"/>
      <c r="BP9" s="1049"/>
      <c r="BQ9" s="1049"/>
      <c r="BR9" s="1049"/>
      <c r="BS9" s="1049"/>
      <c r="BT9" s="2147"/>
    </row>
    <row r="10" s="2926" customFormat="1" ht="13" spans="1:72">
      <c r="A10" s="3236"/>
      <c r="B10" s="3236"/>
      <c r="C10" s="3236"/>
      <c r="D10" s="3236"/>
      <c r="E10" s="3236"/>
      <c r="F10" s="3236"/>
      <c r="G10" s="2098"/>
      <c r="H10" s="3240"/>
      <c r="I10" s="3257"/>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543</v>
      </c>
      <c r="AE10" s="3268"/>
      <c r="AF10" s="2262" t="s">
        <v>543</v>
      </c>
      <c r="AG10" s="3268"/>
      <c r="AH10" s="2262" t="s">
        <v>544</v>
      </c>
      <c r="AI10" s="3268"/>
      <c r="AJ10" s="2262" t="s">
        <v>544</v>
      </c>
      <c r="AK10" s="3268"/>
      <c r="AL10" s="2262" t="s">
        <v>545</v>
      </c>
      <c r="AM10" s="2112"/>
      <c r="AN10" s="2262" t="s">
        <v>545</v>
      </c>
      <c r="AO10" s="2112"/>
      <c r="AP10" s="2262" t="s">
        <v>546</v>
      </c>
      <c r="AQ10" s="2112"/>
      <c r="AR10" s="2262" t="s">
        <v>546</v>
      </c>
      <c r="AS10" s="2112"/>
      <c r="AT10" s="3236"/>
      <c r="AU10" s="3236"/>
      <c r="AV10" s="2098"/>
      <c r="AW10" s="2582"/>
      <c r="AX10" s="2098"/>
      <c r="AY10" s="3240"/>
      <c r="AZ10" s="3240"/>
      <c r="BA10" s="3241" t="s">
        <v>537</v>
      </c>
      <c r="BB10" s="3294">
        <f>I9</f>
        <v>0</v>
      </c>
      <c r="BC10" s="2171">
        <f>K9</f>
        <v>0</v>
      </c>
      <c r="BD10" s="2171">
        <f>M9</f>
        <v>0</v>
      </c>
      <c r="BE10" s="2171">
        <f>O9</f>
        <v>0</v>
      </c>
      <c r="BF10" s="2171">
        <f>Q9</f>
        <v>0</v>
      </c>
      <c r="BG10" s="2171">
        <f>S9</f>
        <v>0</v>
      </c>
      <c r="BH10" s="2171">
        <f>U9</f>
        <v>0</v>
      </c>
      <c r="BI10" s="2171">
        <f>W9</f>
        <v>0</v>
      </c>
      <c r="BJ10" s="2171">
        <f>Y9</f>
        <v>0</v>
      </c>
      <c r="BK10" s="2171">
        <f>AA9</f>
        <v>0</v>
      </c>
      <c r="BL10" s="2167" t="s">
        <v>537</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3"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547</v>
      </c>
      <c r="AE11" s="1106"/>
      <c r="AF11" s="3269" t="s">
        <v>547</v>
      </c>
      <c r="AG11" s="1106"/>
      <c r="AH11" s="3269" t="s">
        <v>548</v>
      </c>
      <c r="AI11" s="3273"/>
      <c r="AJ11" s="3269" t="s">
        <v>548</v>
      </c>
      <c r="AK11" s="1106"/>
      <c r="AL11" s="1048"/>
      <c r="AM11" s="1106"/>
      <c r="AN11" s="1048"/>
      <c r="AO11" s="1106"/>
      <c r="AP11" s="1048"/>
      <c r="AQ11" s="1106"/>
      <c r="AR11" s="1048"/>
      <c r="AS11" s="1106"/>
      <c r="AT11" s="2582"/>
      <c r="AU11" s="3236"/>
      <c r="AV11" s="2098"/>
      <c r="AW11" s="2582"/>
      <c r="AX11" s="2098"/>
      <c r="AY11" s="3240"/>
      <c r="AZ11" s="3240"/>
      <c r="BA11" s="3240"/>
      <c r="BB11" s="3265">
        <f>I10</f>
        <v>0</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3" spans="1:72">
      <c r="A12" s="3242"/>
      <c r="B12" s="3242"/>
      <c r="C12" s="3242"/>
      <c r="D12" s="3242"/>
      <c r="E12" s="3242"/>
      <c r="F12" s="3242"/>
      <c r="G12" s="633"/>
      <c r="H12" s="3243"/>
      <c r="I12" s="2648" t="s">
        <v>549</v>
      </c>
      <c r="J12" s="1050" t="s">
        <v>550</v>
      </c>
      <c r="K12" s="1050" t="s">
        <v>549</v>
      </c>
      <c r="L12" s="1050" t="s">
        <v>550</v>
      </c>
      <c r="M12" s="1050" t="s">
        <v>549</v>
      </c>
      <c r="N12" s="1050" t="s">
        <v>550</v>
      </c>
      <c r="O12" s="1050" t="s">
        <v>549</v>
      </c>
      <c r="P12" s="1050" t="s">
        <v>550</v>
      </c>
      <c r="Q12" s="1050" t="s">
        <v>549</v>
      </c>
      <c r="R12" s="1050" t="s">
        <v>550</v>
      </c>
      <c r="S12" s="1050" t="s">
        <v>549</v>
      </c>
      <c r="T12" s="1050" t="s">
        <v>550</v>
      </c>
      <c r="U12" s="1050" t="s">
        <v>549</v>
      </c>
      <c r="V12" s="2494" t="s">
        <v>550</v>
      </c>
      <c r="W12" s="1050" t="s">
        <v>549</v>
      </c>
      <c r="X12" s="1050" t="s">
        <v>550</v>
      </c>
      <c r="Y12" s="1050" t="s">
        <v>549</v>
      </c>
      <c r="Z12" s="1050" t="s">
        <v>550</v>
      </c>
      <c r="AA12" s="1050" t="s">
        <v>549</v>
      </c>
      <c r="AB12" s="1050" t="s">
        <v>550</v>
      </c>
      <c r="AC12" s="3270"/>
      <c r="AD12" s="2648" t="s">
        <v>549</v>
      </c>
      <c r="AE12" s="1050" t="s">
        <v>550</v>
      </c>
      <c r="AF12" s="1050" t="s">
        <v>549</v>
      </c>
      <c r="AG12" s="1050" t="s">
        <v>550</v>
      </c>
      <c r="AH12" s="1050" t="s">
        <v>549</v>
      </c>
      <c r="AI12" s="1050" t="s">
        <v>550</v>
      </c>
      <c r="AJ12" s="1050" t="s">
        <v>549</v>
      </c>
      <c r="AK12" s="1050" t="s">
        <v>550</v>
      </c>
      <c r="AL12" s="1050" t="s">
        <v>549</v>
      </c>
      <c r="AM12" s="1050" t="s">
        <v>550</v>
      </c>
      <c r="AN12" s="1050" t="s">
        <v>549</v>
      </c>
      <c r="AO12" s="1050" t="s">
        <v>550</v>
      </c>
      <c r="AP12" s="1050" t="s">
        <v>549</v>
      </c>
      <c r="AQ12" s="1050" t="s">
        <v>550</v>
      </c>
      <c r="AR12" s="633" t="s">
        <v>549</v>
      </c>
      <c r="AS12" s="3242" t="s">
        <v>550</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5" spans="1:72">
      <c r="A13" s="3244"/>
      <c r="B13" s="3244"/>
      <c r="C13" s="3244"/>
      <c r="D13" s="3245"/>
      <c r="E13" s="3230" t="e">
        <f>IF($C$3="是",ROUND($A$3*G13/$B$3,2),ROUND($A$3*(G13-AT13)/$B$3,2))</f>
        <v>#DIV/0!</v>
      </c>
      <c r="F13" s="3246"/>
      <c r="G13" s="3247">
        <f>H13+AC13+AT13</f>
        <v>0</v>
      </c>
      <c r="H13" s="3233">
        <f>SUMIF(I$12:AB$12,"总值",I13:AB13)</f>
        <v>0</v>
      </c>
      <c r="I13" s="3261"/>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t="e">
        <f>ROUND($AY$6*AZ13/$AZ$5,2)</f>
        <v>#DIV/0!</v>
      </c>
      <c r="AZ13" s="3230">
        <f>BA13+BL13</f>
        <v>0</v>
      </c>
      <c r="BA13" s="3230">
        <f>SUM(BB13:BK13)</f>
        <v>0</v>
      </c>
      <c r="BB13" s="3230">
        <f>IF($D13="是",I13-J13,0)</f>
        <v>0</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5" spans="1:72">
      <c r="A14" s="3244"/>
      <c r="B14" s="3244"/>
      <c r="C14" s="3248"/>
      <c r="D14" s="3245"/>
      <c r="E14" s="3230" t="e">
        <f>IF($C$3="是",ROUND($A$3*G14/$B$3,2),ROUND($A$3*(G14-AT14)/$B$3,2))</f>
        <v>#DIV/0!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t="e">
        <f>ROUND($AY$6*AZ14/$AZ$5,2)</f>
        <v>#DIV/0!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t="e">
        <f>IF($C$3="是",ROUND($A$3*G15/$B$3,2),ROUND($A$3*(G15-AT15)/$B$3,2))</f>
        <v>#DIV/0!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t="e">
        <f>ROUND($AY$6*AZ15/$AZ$5,2)</f>
        <v>#DIV/0!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t="e">
        <f>IF($C$3="是",ROUND($A$3*G16/$B$3,2),ROUND($A$3*(G16-AT16)/$B$3,2))</f>
        <v>#DIV/0!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t="e">
        <f>ROUND($AY$6*AZ16/$AZ$5,2)</f>
        <v>#DIV/0!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t="e">
        <f>IF($C$3="是",ROUND($A$3*G17/$B$3,2),ROUND($A$3*(G17-AT17)/$B$3,2))</f>
        <v>#DIV/0!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t="e">
        <f>ROUND($AY$6*AZ17/$AZ$5,2)</f>
        <v>#DIV/0!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t="e">
        <f t="shared" ref="E18:E112" si="7">IF($C$3="是",ROUND($A$3*G18/$B$3,2),ROUND($A$3*(G18-AT18)/$B$3,2))</f>
        <v>#DIV/0!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t="e">
        <f t="shared" ref="AY18:AY109" si="14">ROUND($AY$6*AZ18/$AZ$5,2)</f>
        <v>#DIV/0!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t="e">
        <f t="shared" si="7"/>
        <v>#DIV/0!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t="e">
        <f t="shared" si="14"/>
        <v>#DIV/0!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t="e">
        <f t="shared" si="7"/>
        <v>#DIV/0!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t="e">
        <f t="shared" si="14"/>
        <v>#DIV/0!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t="e">
        <f t="shared" si="7"/>
        <v>#DIV/0!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t="e">
        <f t="shared" si="14"/>
        <v>#DIV/0!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t="e">
        <f t="shared" si="7"/>
        <v>#DIV/0!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t="e">
        <f t="shared" si="14"/>
        <v>#DIV/0!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t="e">
        <f t="shared" si="7"/>
        <v>#DIV/0!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t="e">
        <f t="shared" si="14"/>
        <v>#DIV/0!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t="e">
        <f t="shared" si="7"/>
        <v>#DIV/0!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t="e">
        <f t="shared" si="14"/>
        <v>#DIV/0!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t="e">
        <f t="shared" si="7"/>
        <v>#DIV/0!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t="e">
        <f t="shared" si="14"/>
        <v>#DIV/0!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t="e">
        <f t="shared" si="7"/>
        <v>#DIV/0!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t="e">
        <f t="shared" si="14"/>
        <v>#DIV/0!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t="e">
        <f t="shared" si="7"/>
        <v>#DIV/0!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t="e">
        <f t="shared" si="14"/>
        <v>#DIV/0!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t="e">
        <f t="shared" si="7"/>
        <v>#DIV/0!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t="e">
        <f t="shared" si="14"/>
        <v>#DIV/0!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t="e">
        <f t="shared" si="7"/>
        <v>#DIV/0!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t="e">
        <f t="shared" si="14"/>
        <v>#DIV/0!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t="e">
        <f t="shared" si="7"/>
        <v>#DIV/0!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t="e">
        <f t="shared" si="14"/>
        <v>#DIV/0!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t="e">
        <f t="shared" si="7"/>
        <v>#DIV/0!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t="e">
        <f t="shared" si="14"/>
        <v>#DIV/0!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t="e">
        <f t="shared" si="7"/>
        <v>#DIV/0!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t="e">
        <f t="shared" si="14"/>
        <v>#DIV/0!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t="e">
        <f t="shared" si="7"/>
        <v>#DIV/0!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t="e">
        <f t="shared" si="14"/>
        <v>#DIV/0!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t="e">
        <f t="shared" si="7"/>
        <v>#DIV/0!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t="e">
        <f t="shared" si="14"/>
        <v>#DIV/0!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t="e">
        <f t="shared" si="7"/>
        <v>#DIV/0!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t="e">
        <f t="shared" si="14"/>
        <v>#DIV/0!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t="e">
        <f t="shared" si="7"/>
        <v>#DIV/0!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t="e">
        <f t="shared" si="14"/>
        <v>#DIV/0!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t="e">
        <f t="shared" si="7"/>
        <v>#DIV/0!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t="e">
        <f t="shared" si="14"/>
        <v>#DIV/0!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t="e">
        <f t="shared" si="7"/>
        <v>#DIV/0!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t="e">
        <f t="shared" si="14"/>
        <v>#DIV/0!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t="e">
        <f t="shared" si="7"/>
        <v>#DIV/0!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t="e">
        <f t="shared" si="14"/>
        <v>#DIV/0!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t="e">
        <f t="shared" si="7"/>
        <v>#DIV/0!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t="e">
        <f t="shared" si="14"/>
        <v>#DIV/0!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t="e">
        <f t="shared" si="7"/>
        <v>#DIV/0!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t="e">
        <f t="shared" si="14"/>
        <v>#DIV/0!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t="e">
        <f t="shared" si="7"/>
        <v>#DIV/0!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t="e">
        <f t="shared" si="14"/>
        <v>#DIV/0!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t="e">
        <f t="shared" si="7"/>
        <v>#DIV/0!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t="e">
        <f t="shared" si="14"/>
        <v>#DIV/0!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t="e">
        <f t="shared" si="7"/>
        <v>#DIV/0!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t="e">
        <f t="shared" si="14"/>
        <v>#DIV/0!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t="e">
        <f t="shared" si="7"/>
        <v>#DIV/0!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t="e">
        <f t="shared" si="14"/>
        <v>#DIV/0!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t="e">
        <f t="shared" si="7"/>
        <v>#DIV/0!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t="e">
        <f t="shared" si="14"/>
        <v>#DIV/0!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t="e">
        <f t="shared" si="7"/>
        <v>#DIV/0!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t="e">
        <f t="shared" si="14"/>
        <v>#DIV/0!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t="e">
        <f t="shared" si="7"/>
        <v>#DIV/0!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t="e">
        <f t="shared" si="14"/>
        <v>#DIV/0!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t="e">
        <f t="shared" si="7"/>
        <v>#DIV/0!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t="e">
        <f t="shared" si="14"/>
        <v>#DIV/0!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t="e">
        <f t="shared" si="7"/>
        <v>#DIV/0!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t="e">
        <f t="shared" si="14"/>
        <v>#DIV/0!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t="e">
        <f t="shared" si="7"/>
        <v>#DIV/0!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t="e">
        <f t="shared" si="14"/>
        <v>#DIV/0!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t="e">
        <f t="shared" si="7"/>
        <v>#DIV/0!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t="e">
        <f t="shared" si="14"/>
        <v>#DIV/0!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t="e">
        <f t="shared" si="7"/>
        <v>#DIV/0!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t="e">
        <f t="shared" si="14"/>
        <v>#DIV/0!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t="e">
        <f t="shared" si="7"/>
        <v>#DIV/0!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t="e">
        <f t="shared" si="14"/>
        <v>#DIV/0!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t="e">
        <f t="shared" si="7"/>
        <v>#DIV/0!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t="e">
        <f t="shared" si="14"/>
        <v>#DIV/0!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t="e">
        <f t="shared" si="7"/>
        <v>#DIV/0!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t="e">
        <f t="shared" si="14"/>
        <v>#DIV/0!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t="e">
        <f t="shared" si="7"/>
        <v>#DIV/0!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t="e">
        <f t="shared" si="14"/>
        <v>#DIV/0!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t="e">
        <f t="shared" si="7"/>
        <v>#DIV/0!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t="e">
        <f t="shared" si="14"/>
        <v>#DIV/0!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t="e">
        <f t="shared" si="7"/>
        <v>#DIV/0!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t="e">
        <f t="shared" si="14"/>
        <v>#DIV/0!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t="e">
        <f t="shared" si="7"/>
        <v>#DIV/0!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t="e">
        <f t="shared" si="14"/>
        <v>#DIV/0!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t="e">
        <f t="shared" si="7"/>
        <v>#DIV/0!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t="e">
        <f t="shared" si="14"/>
        <v>#DIV/0!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t="e">
        <f t="shared" si="7"/>
        <v>#DIV/0!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t="e">
        <f t="shared" si="14"/>
        <v>#DIV/0!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t="e">
        <f t="shared" si="7"/>
        <v>#DIV/0!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t="e">
        <f t="shared" si="14"/>
        <v>#DIV/0!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t="e">
        <f t="shared" si="7"/>
        <v>#DIV/0!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t="e">
        <f t="shared" si="14"/>
        <v>#DIV/0!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t="e">
        <f t="shared" si="7"/>
        <v>#DIV/0!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t="e">
        <f t="shared" si="14"/>
        <v>#DIV/0!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t="e">
        <f t="shared" si="7"/>
        <v>#DIV/0!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t="e">
        <f t="shared" si="14"/>
        <v>#DIV/0!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t="e">
        <f t="shared" si="7"/>
        <v>#DIV/0!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t="e">
        <f t="shared" si="14"/>
        <v>#DIV/0!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t="e">
        <f t="shared" si="7"/>
        <v>#DIV/0!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t="e">
        <f t="shared" si="14"/>
        <v>#DIV/0!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t="e">
        <f t="shared" si="7"/>
        <v>#DIV/0!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t="e">
        <f t="shared" si="14"/>
        <v>#DIV/0!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t="e">
        <f t="shared" si="7"/>
        <v>#DIV/0!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t="e">
        <f t="shared" si="14"/>
        <v>#DIV/0!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t="e">
        <f t="shared" si="7"/>
        <v>#DIV/0!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t="e">
        <f t="shared" si="14"/>
        <v>#DIV/0!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t="e">
        <f t="shared" si="7"/>
        <v>#DIV/0!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t="e">
        <f t="shared" si="14"/>
        <v>#DIV/0!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t="e">
        <f t="shared" si="7"/>
        <v>#DIV/0!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t="e">
        <f t="shared" si="14"/>
        <v>#DIV/0!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t="e">
        <f t="shared" si="7"/>
        <v>#DIV/0!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t="e">
        <f t="shared" si="14"/>
        <v>#DIV/0!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t="e">
        <f t="shared" si="7"/>
        <v>#DIV/0!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t="e">
        <f t="shared" si="14"/>
        <v>#DIV/0!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t="e">
        <f t="shared" si="7"/>
        <v>#DIV/0!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t="e">
        <f t="shared" si="14"/>
        <v>#DIV/0!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t="e">
        <f t="shared" si="7"/>
        <v>#DIV/0!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t="e">
        <f t="shared" si="14"/>
        <v>#DIV/0!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t="e">
        <f t="shared" si="7"/>
        <v>#DIV/0!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t="e">
        <f t="shared" si="14"/>
        <v>#DIV/0!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t="e">
        <f t="shared" si="7"/>
        <v>#DIV/0!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t="e">
        <f t="shared" si="14"/>
        <v>#DIV/0!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t="e">
        <f t="shared" si="7"/>
        <v>#DIV/0!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t="e">
        <f t="shared" si="14"/>
        <v>#DIV/0!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t="e">
        <f t="shared" si="7"/>
        <v>#DIV/0!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t="e">
        <f t="shared" si="14"/>
        <v>#DIV/0!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t="e">
        <f t="shared" si="7"/>
        <v>#DIV/0!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t="e">
        <f t="shared" si="14"/>
        <v>#DIV/0!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t="e">
        <f t="shared" si="7"/>
        <v>#DIV/0!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t="e">
        <f t="shared" si="14"/>
        <v>#DIV/0!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t="e">
        <f t="shared" si="7"/>
        <v>#DIV/0!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t="e">
        <f t="shared" si="14"/>
        <v>#DIV/0!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t="e">
        <f t="shared" si="7"/>
        <v>#DIV/0!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t="e">
        <f t="shared" si="14"/>
        <v>#DIV/0!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t="e">
        <f t="shared" si="7"/>
        <v>#DIV/0!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t="e">
        <f t="shared" si="14"/>
        <v>#DIV/0!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t="e">
        <f t="shared" si="7"/>
        <v>#DIV/0!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t="e">
        <f t="shared" si="14"/>
        <v>#DIV/0!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t="e">
        <f t="shared" si="7"/>
        <v>#DIV/0!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t="e">
        <f t="shared" si="14"/>
        <v>#DIV/0!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t="e">
        <f t="shared" si="7"/>
        <v>#DIV/0!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t="e">
        <f t="shared" si="14"/>
        <v>#DIV/0!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t="e">
        <f t="shared" si="7"/>
        <v>#DIV/0!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t="e">
        <f t="shared" si="14"/>
        <v>#DIV/0!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t="e">
        <f t="shared" si="7"/>
        <v>#DIV/0!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t="e">
        <f t="shared" si="14"/>
        <v>#DIV/0!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t="e">
        <f t="shared" si="7"/>
        <v>#DIV/0!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t="e">
        <f t="shared" si="14"/>
        <v>#DIV/0!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t="e">
        <f t="shared" si="7"/>
        <v>#DIV/0!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t="e">
        <f t="shared" si="14"/>
        <v>#DIV/0!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t="e">
        <f t="shared" si="7"/>
        <v>#DIV/0!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t="e">
        <f t="shared" si="14"/>
        <v>#DIV/0!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t="e">
        <f t="shared" si="7"/>
        <v>#DIV/0!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t="e">
        <f t="shared" si="14"/>
        <v>#DIV/0!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t="e">
        <f t="shared" si="7"/>
        <v>#DIV/0!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t="e">
        <f t="shared" si="14"/>
        <v>#DIV/0!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t="e">
        <f t="shared" si="7"/>
        <v>#DIV/0!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t="e">
        <f t="shared" si="14"/>
        <v>#DIV/0!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t="e">
        <f t="shared" si="7"/>
        <v>#DIV/0!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t="e">
        <f t="shared" si="14"/>
        <v>#DIV/0!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t="e">
        <f t="shared" si="7"/>
        <v>#DIV/0!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t="e">
        <f t="shared" si="14"/>
        <v>#DIV/0!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t="e">
        <f t="shared" si="7"/>
        <v>#DIV/0!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t="e">
        <f t="shared" si="14"/>
        <v>#DIV/0!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t="e">
        <f t="shared" si="7"/>
        <v>#DIV/0!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t="e">
        <f t="shared" si="14"/>
        <v>#DIV/0!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t="e">
        <f t="shared" si="7"/>
        <v>#DIV/0!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t="e">
        <f t="shared" si="14"/>
        <v>#DIV/0!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t="e">
        <f t="shared" si="7"/>
        <v>#DIV/0!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t="e">
        <f t="shared" si="14"/>
        <v>#DIV/0!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t="e">
        <f t="shared" si="7"/>
        <v>#DIV/0!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t="e">
        <f t="shared" si="14"/>
        <v>#DIV/0!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t="e">
        <f t="shared" si="7"/>
        <v>#DIV/0!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t="e">
        <f t="shared" si="14"/>
        <v>#DIV/0!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t="e">
        <f t="shared" si="7"/>
        <v>#DIV/0!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t="e">
        <f t="shared" si="14"/>
        <v>#DIV/0!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t="e">
        <f t="shared" si="7"/>
        <v>#DIV/0!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t="e">
        <f t="shared" si="14"/>
        <v>#DIV/0!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t="e">
        <f t="shared" si="7"/>
        <v>#DIV/0!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t="e">
        <f t="shared" si="14"/>
        <v>#DIV/0!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t="e">
        <f t="shared" si="7"/>
        <v>#DIV/0!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t="e">
        <f t="shared" si="14"/>
        <v>#DIV/0!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t="e">
        <f t="shared" si="7"/>
        <v>#DIV/0!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t="e">
        <f t="shared" ref="AY110:AY141" si="39">ROUND($AY$6*AZ110/$AZ$5,2)</f>
        <v>#DIV/0!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t="e">
        <f t="shared" si="7"/>
        <v>#DIV/0!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t="e">
        <f t="shared" si="39"/>
        <v>#DIV/0!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t="e">
        <f t="shared" si="7"/>
        <v>#DIV/0!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t="e">
        <f t="shared" si="39"/>
        <v>#DIV/0!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t="e">
        <f t="shared" ref="E113:E144" si="61">IF($C$3="是",ROUND($A$3*G113/$B$3,2),ROUND($A$3*(G113-AT113)/$B$3,2))</f>
        <v>#DIV/0!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t="e">
        <f t="shared" si="39"/>
        <v>#DIV/0!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t="e">
        <f t="shared" si="61"/>
        <v>#DIV/0!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t="e">
        <f t="shared" si="39"/>
        <v>#DIV/0!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t="e">
        <f t="shared" si="61"/>
        <v>#DIV/0!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t="e">
        <f t="shared" si="39"/>
        <v>#DIV/0!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t="e">
        <f t="shared" si="61"/>
        <v>#DIV/0!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t="e">
        <f t="shared" si="39"/>
        <v>#DIV/0!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t="e">
        <f t="shared" si="61"/>
        <v>#DIV/0!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t="e">
        <f t="shared" si="39"/>
        <v>#DIV/0!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t="e">
        <f t="shared" si="61"/>
        <v>#DIV/0!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t="e">
        <f t="shared" si="39"/>
        <v>#DIV/0!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t="e">
        <f t="shared" si="61"/>
        <v>#DIV/0!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t="e">
        <f t="shared" si="39"/>
        <v>#DIV/0!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t="e">
        <f t="shared" si="61"/>
        <v>#DIV/0!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t="e">
        <f t="shared" si="39"/>
        <v>#DIV/0!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t="e">
        <f t="shared" si="61"/>
        <v>#DIV/0!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t="e">
        <f t="shared" si="39"/>
        <v>#DIV/0!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t="e">
        <f t="shared" si="61"/>
        <v>#DIV/0!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t="e">
        <f t="shared" si="39"/>
        <v>#DIV/0!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t="e">
        <f t="shared" si="61"/>
        <v>#DIV/0!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t="e">
        <f t="shared" si="39"/>
        <v>#DIV/0!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t="e">
        <f t="shared" si="61"/>
        <v>#DIV/0!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t="e">
        <f t="shared" si="39"/>
        <v>#DIV/0!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t="e">
        <f t="shared" si="61"/>
        <v>#DIV/0!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t="e">
        <f t="shared" si="39"/>
        <v>#DIV/0!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t="e">
        <f t="shared" si="61"/>
        <v>#DIV/0!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t="e">
        <f t="shared" si="39"/>
        <v>#DIV/0!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t="e">
        <f t="shared" si="61"/>
        <v>#DIV/0!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t="e">
        <f t="shared" si="39"/>
        <v>#DIV/0!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t="e">
        <f t="shared" si="61"/>
        <v>#DIV/0!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t="e">
        <f t="shared" si="39"/>
        <v>#DIV/0!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t="e">
        <f t="shared" si="61"/>
        <v>#DIV/0!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t="e">
        <f t="shared" si="39"/>
        <v>#DIV/0!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t="e">
        <f t="shared" si="61"/>
        <v>#DIV/0!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t="e">
        <f t="shared" si="39"/>
        <v>#DIV/0!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t="e">
        <f t="shared" si="61"/>
        <v>#DIV/0!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t="e">
        <f t="shared" si="39"/>
        <v>#DIV/0!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t="e">
        <f t="shared" si="61"/>
        <v>#DIV/0!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t="e">
        <f t="shared" si="39"/>
        <v>#DIV/0!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t="e">
        <f t="shared" si="61"/>
        <v>#DIV/0!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t="e">
        <f t="shared" si="39"/>
        <v>#DIV/0!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t="e">
        <f t="shared" si="61"/>
        <v>#DIV/0!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t="e">
        <f t="shared" si="39"/>
        <v>#DIV/0!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t="e">
        <f t="shared" si="61"/>
        <v>#DIV/0!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t="e">
        <f t="shared" si="39"/>
        <v>#DIV/0!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t="e">
        <f t="shared" si="61"/>
        <v>#DIV/0!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t="e">
        <f t="shared" si="39"/>
        <v>#DIV/0!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t="e">
        <f t="shared" si="61"/>
        <v>#DIV/0!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t="e">
        <f t="shared" si="39"/>
        <v>#DIV/0!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t="e">
        <f t="shared" si="61"/>
        <v>#DIV/0!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t="e">
        <f t="shared" si="39"/>
        <v>#DIV/0!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t="e">
        <f t="shared" si="61"/>
        <v>#DIV/0!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t="e">
        <f t="shared" si="39"/>
        <v>#DIV/0!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t="e">
        <f t="shared" si="61"/>
        <v>#DIV/0!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t="e">
        <f t="shared" si="39"/>
        <v>#DIV/0!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t="e">
        <f t="shared" si="61"/>
        <v>#DIV/0!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t="e">
        <f t="shared" si="39"/>
        <v>#DIV/0!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t="e">
        <f t="shared" si="61"/>
        <v>#DIV/0!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t="e">
        <f t="shared" ref="AY142:AY173" si="68">ROUND($AY$6*AZ142/$AZ$5,2)</f>
        <v>#DIV/0!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t="e">
        <f t="shared" si="61"/>
        <v>#DIV/0!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t="e">
        <f t="shared" si="68"/>
        <v>#DIV/0!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t="e">
        <f t="shared" si="61"/>
        <v>#DIV/0!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t="e">
        <f t="shared" si="68"/>
        <v>#DIV/0!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t="e">
        <f t="shared" ref="E145:E176" si="90">IF($C$3="是",ROUND($A$3*G145/$B$3,2),ROUND($A$3*(G145-AT145)/$B$3,2))</f>
        <v>#DIV/0!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t="e">
        <f t="shared" si="68"/>
        <v>#DIV/0!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t="e">
        <f t="shared" si="90"/>
        <v>#DIV/0!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t="e">
        <f t="shared" si="68"/>
        <v>#DIV/0!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t="e">
        <f t="shared" si="90"/>
        <v>#DIV/0!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t="e">
        <f t="shared" si="68"/>
        <v>#DIV/0!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t="e">
        <f t="shared" si="90"/>
        <v>#DIV/0!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t="e">
        <f t="shared" si="68"/>
        <v>#DIV/0!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t="e">
        <f t="shared" si="90"/>
        <v>#DIV/0!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t="e">
        <f t="shared" si="68"/>
        <v>#DIV/0!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t="e">
        <f t="shared" si="90"/>
        <v>#DIV/0!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t="e">
        <f t="shared" si="68"/>
        <v>#DIV/0!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t="e">
        <f t="shared" si="90"/>
        <v>#DIV/0!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t="e">
        <f t="shared" si="68"/>
        <v>#DIV/0!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t="e">
        <f t="shared" si="90"/>
        <v>#DIV/0!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t="e">
        <f t="shared" si="68"/>
        <v>#DIV/0!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t="e">
        <f t="shared" si="90"/>
        <v>#DIV/0!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t="e">
        <f t="shared" si="68"/>
        <v>#DIV/0!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t="e">
        <f t="shared" si="90"/>
        <v>#DIV/0!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t="e">
        <f t="shared" si="68"/>
        <v>#DIV/0!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t="e">
        <f t="shared" si="90"/>
        <v>#DIV/0!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t="e">
        <f t="shared" si="68"/>
        <v>#DIV/0!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t="e">
        <f t="shared" si="90"/>
        <v>#DIV/0!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t="e">
        <f t="shared" si="68"/>
        <v>#DIV/0!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t="e">
        <f t="shared" si="90"/>
        <v>#DIV/0!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t="e">
        <f t="shared" si="68"/>
        <v>#DIV/0!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t="e">
        <f t="shared" si="90"/>
        <v>#DIV/0!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t="e">
        <f t="shared" si="68"/>
        <v>#DIV/0!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t="e">
        <f t="shared" si="90"/>
        <v>#DIV/0!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t="e">
        <f t="shared" si="68"/>
        <v>#DIV/0!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t="e">
        <f t="shared" si="90"/>
        <v>#DIV/0!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t="e">
        <f t="shared" si="68"/>
        <v>#DIV/0!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t="e">
        <f t="shared" si="90"/>
        <v>#DIV/0!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t="e">
        <f t="shared" si="68"/>
        <v>#DIV/0!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t="e">
        <f t="shared" si="90"/>
        <v>#DIV/0!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t="e">
        <f t="shared" si="68"/>
        <v>#DIV/0!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t="e">
        <f t="shared" si="90"/>
        <v>#DIV/0!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t="e">
        <f t="shared" si="68"/>
        <v>#DIV/0!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t="e">
        <f t="shared" si="90"/>
        <v>#DIV/0!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t="e">
        <f t="shared" si="68"/>
        <v>#DIV/0!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t="e">
        <f t="shared" si="90"/>
        <v>#DIV/0!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t="e">
        <f t="shared" si="68"/>
        <v>#DIV/0!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t="e">
        <f t="shared" si="90"/>
        <v>#DIV/0!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t="e">
        <f t="shared" si="68"/>
        <v>#DIV/0!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t="e">
        <f t="shared" si="90"/>
        <v>#DIV/0!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t="e">
        <f t="shared" si="68"/>
        <v>#DIV/0!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t="e">
        <f t="shared" si="90"/>
        <v>#DIV/0!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t="e">
        <f t="shared" si="68"/>
        <v>#DIV/0!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t="e">
        <f t="shared" si="90"/>
        <v>#DIV/0!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t="e">
        <f t="shared" si="68"/>
        <v>#DIV/0!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t="e">
        <f t="shared" si="90"/>
        <v>#DIV/0!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t="e">
        <f t="shared" si="68"/>
        <v>#DIV/0!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t="e">
        <f t="shared" si="90"/>
        <v>#DIV/0!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t="e">
        <f t="shared" si="68"/>
        <v>#DIV/0!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t="e">
        <f t="shared" si="90"/>
        <v>#DIV/0!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t="e">
        <f t="shared" si="68"/>
        <v>#DIV/0!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t="e">
        <f t="shared" si="90"/>
        <v>#DIV/0!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t="e">
        <f t="shared" si="68"/>
        <v>#DIV/0!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t="e">
        <f t="shared" si="90"/>
        <v>#DIV/0!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t="e">
        <f t="shared" ref="AY174:AY207" si="97">ROUND($AY$6*AZ174/$AZ$5,2)</f>
        <v>#DIV/0!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t="e">
        <f t="shared" si="90"/>
        <v>#DIV/0!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t="e">
        <f t="shared" si="97"/>
        <v>#DIV/0!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t="e">
        <f t="shared" si="90"/>
        <v>#DIV/0!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t="e">
        <f t="shared" si="97"/>
        <v>#DIV/0!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t="e">
        <f t="shared" ref="E177:E207" si="119">IF($C$3="是",ROUND($A$3*G177/$B$3,2),ROUND($A$3*(G177-AT177)/$B$3,2))</f>
        <v>#DIV/0!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t="e">
        <f t="shared" si="97"/>
        <v>#DIV/0!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t="e">
        <f t="shared" si="119"/>
        <v>#DIV/0!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t="e">
        <f t="shared" si="97"/>
        <v>#DIV/0!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t="e">
        <f t="shared" si="119"/>
        <v>#DIV/0!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t="e">
        <f t="shared" si="97"/>
        <v>#DIV/0!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t="e">
        <f t="shared" si="119"/>
        <v>#DIV/0!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t="e">
        <f t="shared" si="97"/>
        <v>#DIV/0!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t="e">
        <f t="shared" si="119"/>
        <v>#DIV/0!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t="e">
        <f t="shared" si="97"/>
        <v>#DIV/0!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t="e">
        <f t="shared" si="119"/>
        <v>#DIV/0!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t="e">
        <f t="shared" si="97"/>
        <v>#DIV/0!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t="e">
        <f t="shared" si="119"/>
        <v>#DIV/0!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t="e">
        <f t="shared" si="97"/>
        <v>#DIV/0!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t="e">
        <f t="shared" si="119"/>
        <v>#DIV/0!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t="e">
        <f t="shared" si="97"/>
        <v>#DIV/0!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t="e">
        <f t="shared" si="119"/>
        <v>#DIV/0!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t="e">
        <f t="shared" si="97"/>
        <v>#DIV/0!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t="e">
        <f t="shared" si="119"/>
        <v>#DIV/0!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t="e">
        <f t="shared" si="97"/>
        <v>#DIV/0!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t="e">
        <f t="shared" si="119"/>
        <v>#DIV/0!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t="e">
        <f t="shared" si="97"/>
        <v>#DIV/0!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t="e">
        <f t="shared" si="119"/>
        <v>#DIV/0!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t="e">
        <f t="shared" si="97"/>
        <v>#DIV/0!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t="e">
        <f t="shared" si="119"/>
        <v>#DIV/0!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t="e">
        <f t="shared" si="97"/>
        <v>#DIV/0!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t="e">
        <f t="shared" si="119"/>
        <v>#DIV/0!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t="e">
        <f t="shared" si="97"/>
        <v>#DIV/0!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t="e">
        <f t="shared" si="119"/>
        <v>#DIV/0!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t="e">
        <f t="shared" si="97"/>
        <v>#DIV/0!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t="e">
        <f t="shared" si="119"/>
        <v>#DIV/0!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t="e">
        <f t="shared" si="97"/>
        <v>#DIV/0!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t="e">
        <f t="shared" si="119"/>
        <v>#DIV/0!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t="e">
        <f t="shared" si="97"/>
        <v>#DIV/0!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t="e">
        <f t="shared" si="119"/>
        <v>#DIV/0!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t="e">
        <f t="shared" si="97"/>
        <v>#DIV/0!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t="e">
        <f t="shared" si="119"/>
        <v>#DIV/0!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t="e">
        <f t="shared" si="97"/>
        <v>#DIV/0!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t="e">
        <f t="shared" si="119"/>
        <v>#DIV/0!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t="e">
        <f t="shared" si="97"/>
        <v>#DIV/0!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t="e">
        <f t="shared" si="119"/>
        <v>#DIV/0!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t="e">
        <f t="shared" si="97"/>
        <v>#DIV/0!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t="e">
        <f t="shared" si="119"/>
        <v>#DIV/0!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t="e">
        <f t="shared" si="97"/>
        <v>#DIV/0!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t="e">
        <f t="shared" si="119"/>
        <v>#DIV/0!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t="e">
        <f t="shared" si="97"/>
        <v>#DIV/0!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t="e">
        <f t="shared" si="119"/>
        <v>#DIV/0!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t="e">
        <f t="shared" si="97"/>
        <v>#DIV/0!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t="e">
        <f t="shared" si="119"/>
        <v>#DIV/0!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t="e">
        <f t="shared" si="97"/>
        <v>#DIV/0!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t="e">
        <f t="shared" si="119"/>
        <v>#DIV/0!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t="e">
        <f t="shared" si="97"/>
        <v>#DIV/0!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t="e">
        <f t="shared" si="119"/>
        <v>#DIV/0!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t="e">
        <f t="shared" si="97"/>
        <v>#DIV/0!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t="e">
        <f t="shared" si="119"/>
        <v>#DIV/0!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t="e">
        <f t="shared" si="97"/>
        <v>#DIV/0!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t="e">
        <f t="shared" si="119"/>
        <v>#DIV/0!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t="e">
        <f t="shared" si="97"/>
        <v>#DIV/0!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t="e">
        <f t="shared" si="119"/>
        <v>#DIV/0!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t="e">
        <f t="shared" si="97"/>
        <v>#DIV/0!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t="e">
        <f t="shared" si="119"/>
        <v>#DIV/0!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t="e">
        <f t="shared" si="97"/>
        <v>#DIV/0!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t="e">
        <f t="shared" ref="E208:E302" si="123">IF($C$3="是",ROUND($A$3*G208/$B$3,2),ROUND($A$3*(G208-AT208)/$B$3,2))</f>
        <v>#DIV/0!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t="e">
        <f t="shared" ref="AY208:AY299" si="130">ROUND($AY$6*AZ208/$AZ$5,2)</f>
        <v>#DIV/0!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t="e">
        <f t="shared" si="123"/>
        <v>#DIV/0!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t="e">
        <f t="shared" si="130"/>
        <v>#DIV/0!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t="e">
        <f t="shared" si="123"/>
        <v>#DIV/0!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t="e">
        <f t="shared" si="130"/>
        <v>#DIV/0!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t="e">
        <f t="shared" si="123"/>
        <v>#DIV/0!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t="e">
        <f t="shared" si="130"/>
        <v>#DIV/0!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t="e">
        <f t="shared" si="123"/>
        <v>#DIV/0!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t="e">
        <f t="shared" si="130"/>
        <v>#DIV/0!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t="e">
        <f t="shared" si="123"/>
        <v>#DIV/0!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t="e">
        <f t="shared" si="130"/>
        <v>#DIV/0!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t="e">
        <f t="shared" si="123"/>
        <v>#DIV/0!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t="e">
        <f t="shared" si="130"/>
        <v>#DIV/0!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t="e">
        <f t="shared" si="123"/>
        <v>#DIV/0!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t="e">
        <f t="shared" si="130"/>
        <v>#DIV/0!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t="e">
        <f t="shared" si="123"/>
        <v>#DIV/0!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t="e">
        <f t="shared" si="130"/>
        <v>#DIV/0!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t="e">
        <f t="shared" si="123"/>
        <v>#DIV/0!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t="e">
        <f t="shared" si="130"/>
        <v>#DIV/0!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t="e">
        <f t="shared" si="123"/>
        <v>#DIV/0!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t="e">
        <f t="shared" si="130"/>
        <v>#DIV/0!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t="e">
        <f t="shared" si="123"/>
        <v>#DIV/0!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t="e">
        <f t="shared" si="130"/>
        <v>#DIV/0!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t="e">
        <f t="shared" si="123"/>
        <v>#DIV/0!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t="e">
        <f t="shared" si="130"/>
        <v>#DIV/0!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t="e">
        <f t="shared" si="123"/>
        <v>#DIV/0!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t="e">
        <f t="shared" si="130"/>
        <v>#DIV/0!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t="e">
        <f t="shared" si="123"/>
        <v>#DIV/0!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t="e">
        <f t="shared" si="130"/>
        <v>#DIV/0!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t="e">
        <f t="shared" si="123"/>
        <v>#DIV/0!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t="e">
        <f t="shared" si="130"/>
        <v>#DIV/0!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t="e">
        <f t="shared" si="123"/>
        <v>#DIV/0!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t="e">
        <f t="shared" si="130"/>
        <v>#DIV/0!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t="e">
        <f t="shared" si="123"/>
        <v>#DIV/0!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t="e">
        <f t="shared" si="130"/>
        <v>#DIV/0!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t="e">
        <f t="shared" si="123"/>
        <v>#DIV/0!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t="e">
        <f t="shared" si="130"/>
        <v>#DIV/0!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t="e">
        <f t="shared" si="123"/>
        <v>#DIV/0!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t="e">
        <f t="shared" si="130"/>
        <v>#DIV/0!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t="e">
        <f t="shared" si="123"/>
        <v>#DIV/0!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t="e">
        <f t="shared" si="130"/>
        <v>#DIV/0!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t="e">
        <f t="shared" si="123"/>
        <v>#DIV/0!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t="e">
        <f t="shared" si="130"/>
        <v>#DIV/0!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t="e">
        <f t="shared" si="123"/>
        <v>#DIV/0!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t="e">
        <f t="shared" si="130"/>
        <v>#DIV/0!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t="e">
        <f t="shared" si="123"/>
        <v>#DIV/0!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t="e">
        <f t="shared" si="130"/>
        <v>#DIV/0!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t="e">
        <f t="shared" si="123"/>
        <v>#DIV/0!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t="e">
        <f t="shared" si="130"/>
        <v>#DIV/0!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t="e">
        <f t="shared" si="123"/>
        <v>#DIV/0!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t="e">
        <f t="shared" si="130"/>
        <v>#DIV/0!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t="e">
        <f t="shared" si="123"/>
        <v>#DIV/0!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t="e">
        <f t="shared" si="130"/>
        <v>#DIV/0!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t="e">
        <f t="shared" si="123"/>
        <v>#DIV/0!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t="e">
        <f t="shared" si="130"/>
        <v>#DIV/0!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t="e">
        <f t="shared" si="123"/>
        <v>#DIV/0!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t="e">
        <f t="shared" si="130"/>
        <v>#DIV/0!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t="e">
        <f t="shared" si="123"/>
        <v>#DIV/0!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t="e">
        <f t="shared" si="130"/>
        <v>#DIV/0!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t="e">
        <f t="shared" si="123"/>
        <v>#DIV/0!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t="e">
        <f t="shared" si="130"/>
        <v>#DIV/0!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t="e">
        <f t="shared" si="123"/>
        <v>#DIV/0!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t="e">
        <f t="shared" si="130"/>
        <v>#DIV/0!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t="e">
        <f t="shared" si="123"/>
        <v>#DIV/0!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t="e">
        <f t="shared" si="130"/>
        <v>#DIV/0!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t="e">
        <f t="shared" si="123"/>
        <v>#DIV/0!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t="e">
        <f t="shared" si="130"/>
        <v>#DIV/0!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t="e">
        <f t="shared" si="123"/>
        <v>#DIV/0!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t="e">
        <f t="shared" si="130"/>
        <v>#DIV/0!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t="e">
        <f t="shared" si="123"/>
        <v>#DIV/0!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t="e">
        <f t="shared" si="130"/>
        <v>#DIV/0!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t="e">
        <f t="shared" si="123"/>
        <v>#DIV/0!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t="e">
        <f t="shared" si="130"/>
        <v>#DIV/0!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t="e">
        <f t="shared" si="123"/>
        <v>#DIV/0!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t="e">
        <f t="shared" si="130"/>
        <v>#DIV/0!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t="e">
        <f t="shared" si="123"/>
        <v>#DIV/0!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t="e">
        <f t="shared" si="130"/>
        <v>#DIV/0!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t="e">
        <f t="shared" si="123"/>
        <v>#DIV/0!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t="e">
        <f t="shared" si="130"/>
        <v>#DIV/0!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t="e">
        <f t="shared" si="123"/>
        <v>#DIV/0!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t="e">
        <f t="shared" si="130"/>
        <v>#DIV/0!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t="e">
        <f t="shared" si="123"/>
        <v>#DIV/0!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t="e">
        <f t="shared" si="130"/>
        <v>#DIV/0!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t="e">
        <f t="shared" si="123"/>
        <v>#DIV/0!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t="e">
        <f t="shared" si="130"/>
        <v>#DIV/0!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t="e">
        <f t="shared" si="123"/>
        <v>#DIV/0!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t="e">
        <f t="shared" si="130"/>
        <v>#DIV/0!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t="e">
        <f t="shared" si="123"/>
        <v>#DIV/0!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t="e">
        <f t="shared" si="130"/>
        <v>#DIV/0!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t="e">
        <f t="shared" si="123"/>
        <v>#DIV/0!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t="e">
        <f t="shared" si="130"/>
        <v>#DIV/0!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t="e">
        <f t="shared" si="123"/>
        <v>#DIV/0!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t="e">
        <f t="shared" si="130"/>
        <v>#DIV/0!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t="e">
        <f t="shared" si="123"/>
        <v>#DIV/0!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t="e">
        <f t="shared" si="130"/>
        <v>#DIV/0!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t="e">
        <f t="shared" si="123"/>
        <v>#DIV/0!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t="e">
        <f t="shared" si="130"/>
        <v>#DIV/0!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t="e">
        <f t="shared" si="123"/>
        <v>#DIV/0!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t="e">
        <f t="shared" si="130"/>
        <v>#DIV/0!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t="e">
        <f t="shared" si="123"/>
        <v>#DIV/0!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t="e">
        <f t="shared" si="130"/>
        <v>#DIV/0!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t="e">
        <f t="shared" si="123"/>
        <v>#DIV/0!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t="e">
        <f t="shared" si="130"/>
        <v>#DIV/0!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t="e">
        <f t="shared" si="123"/>
        <v>#DIV/0!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t="e">
        <f t="shared" si="130"/>
        <v>#DIV/0!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t="e">
        <f t="shared" si="123"/>
        <v>#DIV/0!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t="e">
        <f t="shared" si="130"/>
        <v>#DIV/0!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t="e">
        <f t="shared" si="123"/>
        <v>#DIV/0!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t="e">
        <f t="shared" si="130"/>
        <v>#DIV/0!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t="e">
        <f t="shared" si="123"/>
        <v>#DIV/0!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t="e">
        <f t="shared" si="130"/>
        <v>#DIV/0!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t="e">
        <f t="shared" si="123"/>
        <v>#DIV/0!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t="e">
        <f t="shared" si="130"/>
        <v>#DIV/0!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t="e">
        <f t="shared" si="123"/>
        <v>#DIV/0!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t="e">
        <f t="shared" si="130"/>
        <v>#DIV/0!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t="e">
        <f t="shared" si="123"/>
        <v>#DIV/0!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t="e">
        <f t="shared" si="130"/>
        <v>#DIV/0!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t="e">
        <f t="shared" si="123"/>
        <v>#DIV/0!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t="e">
        <f t="shared" si="130"/>
        <v>#DIV/0!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t="e">
        <f t="shared" si="123"/>
        <v>#DIV/0!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t="e">
        <f t="shared" si="130"/>
        <v>#DIV/0!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t="e">
        <f t="shared" si="123"/>
        <v>#DIV/0!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t="e">
        <f t="shared" si="130"/>
        <v>#DIV/0!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t="e">
        <f t="shared" si="123"/>
        <v>#DIV/0!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t="e">
        <f t="shared" si="130"/>
        <v>#DIV/0!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t="e">
        <f t="shared" si="123"/>
        <v>#DIV/0!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t="e">
        <f t="shared" si="130"/>
        <v>#DIV/0!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t="e">
        <f t="shared" si="123"/>
        <v>#DIV/0!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t="e">
        <f t="shared" si="130"/>
        <v>#DIV/0!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t="e">
        <f t="shared" si="123"/>
        <v>#DIV/0!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t="e">
        <f t="shared" si="130"/>
        <v>#DIV/0!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t="e">
        <f t="shared" si="123"/>
        <v>#DIV/0!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t="e">
        <f t="shared" si="130"/>
        <v>#DIV/0!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t="e">
        <f t="shared" si="123"/>
        <v>#DIV/0!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t="e">
        <f t="shared" si="130"/>
        <v>#DIV/0!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t="e">
        <f t="shared" si="123"/>
        <v>#DIV/0!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t="e">
        <f t="shared" si="130"/>
        <v>#DIV/0!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t="e">
        <f t="shared" si="123"/>
        <v>#DIV/0!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t="e">
        <f t="shared" si="130"/>
        <v>#DIV/0!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t="e">
        <f t="shared" si="123"/>
        <v>#DIV/0!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t="e">
        <f t="shared" si="130"/>
        <v>#DIV/0!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t="e">
        <f t="shared" si="123"/>
        <v>#DIV/0!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t="e">
        <f t="shared" si="130"/>
        <v>#DIV/0!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t="e">
        <f t="shared" si="123"/>
        <v>#DIV/0!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t="e">
        <f t="shared" si="130"/>
        <v>#DIV/0!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t="e">
        <f t="shared" si="123"/>
        <v>#DIV/0!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t="e">
        <f t="shared" si="130"/>
        <v>#DIV/0!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t="e">
        <f t="shared" si="123"/>
        <v>#DIV/0!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t="e">
        <f t="shared" si="130"/>
        <v>#DIV/0!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t="e">
        <f t="shared" si="123"/>
        <v>#DIV/0!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t="e">
        <f t="shared" si="130"/>
        <v>#DIV/0!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t="e">
        <f t="shared" si="123"/>
        <v>#DIV/0!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t="e">
        <f t="shared" si="130"/>
        <v>#DIV/0!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t="e">
        <f t="shared" si="123"/>
        <v>#DIV/0!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t="e">
        <f t="shared" si="130"/>
        <v>#DIV/0!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t="e">
        <f t="shared" si="123"/>
        <v>#DIV/0!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t="e">
        <f t="shared" si="130"/>
        <v>#DIV/0!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t="e">
        <f t="shared" si="123"/>
        <v>#DIV/0!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t="e">
        <f t="shared" si="130"/>
        <v>#DIV/0!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t="e">
        <f t="shared" si="123"/>
        <v>#DIV/0!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t="e">
        <f t="shared" si="130"/>
        <v>#DIV/0!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t="e">
        <f t="shared" si="123"/>
        <v>#DIV/0!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t="e">
        <f t="shared" si="130"/>
        <v>#DIV/0!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t="e">
        <f t="shared" si="123"/>
        <v>#DIV/0!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t="e">
        <f t="shared" si="130"/>
        <v>#DIV/0!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t="e">
        <f t="shared" si="123"/>
        <v>#DIV/0!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t="e">
        <f t="shared" si="130"/>
        <v>#DIV/0!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t="e">
        <f t="shared" si="123"/>
        <v>#DIV/0!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t="e">
        <f t="shared" si="130"/>
        <v>#DIV/0!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t="e">
        <f t="shared" si="123"/>
        <v>#DIV/0!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t="e">
        <f t="shared" si="130"/>
        <v>#DIV/0!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t="e">
        <f t="shared" si="123"/>
        <v>#DIV/0!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t="e">
        <f t="shared" si="130"/>
        <v>#DIV/0!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t="e">
        <f t="shared" si="123"/>
        <v>#DIV/0!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t="e">
        <f t="shared" si="130"/>
        <v>#DIV/0!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t="e">
        <f t="shared" si="123"/>
        <v>#DIV/0!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t="e">
        <f t="shared" si="130"/>
        <v>#DIV/0!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t="e">
        <f t="shared" si="123"/>
        <v>#DIV/0!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t="e">
        <f t="shared" si="130"/>
        <v>#DIV/0!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t="e">
        <f t="shared" si="123"/>
        <v>#DIV/0!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t="e">
        <f t="shared" si="130"/>
        <v>#DIV/0!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t="e">
        <f t="shared" si="123"/>
        <v>#DIV/0!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t="e">
        <f t="shared" si="130"/>
        <v>#DIV/0!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t="e">
        <f t="shared" si="123"/>
        <v>#DIV/0!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t="e">
        <f t="shared" ref="AY300:AY331" si="155">ROUND($AY$6*AZ300/$AZ$5,2)</f>
        <v>#DIV/0!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t="e">
        <f t="shared" si="123"/>
        <v>#DIV/0!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t="e">
        <f t="shared" si="155"/>
        <v>#DIV/0!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t="e">
        <f t="shared" si="123"/>
        <v>#DIV/0!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t="e">
        <f t="shared" si="155"/>
        <v>#DIV/0!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t="e">
        <f t="shared" ref="E303:E334" si="177">IF($C$3="是",ROUND($A$3*G303/$B$3,2),ROUND($A$3*(G303-AT303)/$B$3,2))</f>
        <v>#DIV/0!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t="e">
        <f t="shared" si="155"/>
        <v>#DIV/0!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t="e">
        <f t="shared" si="177"/>
        <v>#DIV/0!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t="e">
        <f t="shared" si="155"/>
        <v>#DIV/0!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t="e">
        <f t="shared" si="177"/>
        <v>#DIV/0!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t="e">
        <f t="shared" si="155"/>
        <v>#DIV/0!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t="e">
        <f t="shared" si="177"/>
        <v>#DIV/0!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t="e">
        <f t="shared" si="155"/>
        <v>#DIV/0!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t="e">
        <f t="shared" si="177"/>
        <v>#DIV/0!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t="e">
        <f t="shared" si="155"/>
        <v>#DIV/0!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t="e">
        <f t="shared" si="177"/>
        <v>#DIV/0!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t="e">
        <f t="shared" si="155"/>
        <v>#DIV/0!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t="e">
        <f t="shared" si="177"/>
        <v>#DIV/0!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t="e">
        <f t="shared" si="155"/>
        <v>#DIV/0!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t="e">
        <f t="shared" si="177"/>
        <v>#DIV/0!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t="e">
        <f t="shared" si="155"/>
        <v>#DIV/0!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t="e">
        <f t="shared" si="177"/>
        <v>#DIV/0!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t="e">
        <f t="shared" si="155"/>
        <v>#DIV/0!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t="e">
        <f t="shared" si="177"/>
        <v>#DIV/0!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t="e">
        <f t="shared" si="155"/>
        <v>#DIV/0!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t="e">
        <f t="shared" si="177"/>
        <v>#DIV/0!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t="e">
        <f t="shared" si="155"/>
        <v>#DIV/0!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t="e">
        <f t="shared" si="177"/>
        <v>#DIV/0!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t="e">
        <f t="shared" si="155"/>
        <v>#DIV/0!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t="e">
        <f t="shared" si="177"/>
        <v>#DIV/0!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t="e">
        <f t="shared" si="155"/>
        <v>#DIV/0!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t="e">
        <f t="shared" si="177"/>
        <v>#DIV/0!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t="e">
        <f t="shared" si="155"/>
        <v>#DIV/0!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t="e">
        <f t="shared" si="177"/>
        <v>#DIV/0!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t="e">
        <f t="shared" si="155"/>
        <v>#DIV/0!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t="e">
        <f t="shared" si="177"/>
        <v>#DIV/0!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t="e">
        <f t="shared" si="155"/>
        <v>#DIV/0!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t="e">
        <f t="shared" si="177"/>
        <v>#DIV/0!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t="e">
        <f t="shared" si="155"/>
        <v>#DIV/0!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t="e">
        <f t="shared" si="177"/>
        <v>#DIV/0!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t="e">
        <f t="shared" si="155"/>
        <v>#DIV/0!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t="e">
        <f t="shared" si="177"/>
        <v>#DIV/0!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t="e">
        <f t="shared" si="155"/>
        <v>#DIV/0!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t="e">
        <f t="shared" si="177"/>
        <v>#DIV/0!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t="e">
        <f t="shared" si="155"/>
        <v>#DIV/0!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t="e">
        <f t="shared" si="177"/>
        <v>#DIV/0!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t="e">
        <f t="shared" si="155"/>
        <v>#DIV/0!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t="e">
        <f t="shared" si="177"/>
        <v>#DIV/0!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t="e">
        <f t="shared" si="155"/>
        <v>#DIV/0!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t="e">
        <f t="shared" si="177"/>
        <v>#DIV/0!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t="e">
        <f t="shared" si="155"/>
        <v>#DIV/0!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t="e">
        <f t="shared" si="177"/>
        <v>#DIV/0!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t="e">
        <f t="shared" si="155"/>
        <v>#DIV/0!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t="e">
        <f t="shared" si="177"/>
        <v>#DIV/0!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t="e">
        <f t="shared" si="155"/>
        <v>#DIV/0!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t="e">
        <f t="shared" si="177"/>
        <v>#DIV/0!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t="e">
        <f t="shared" si="155"/>
        <v>#DIV/0!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t="e">
        <f t="shared" si="177"/>
        <v>#DIV/0!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t="e">
        <f t="shared" si="155"/>
        <v>#DIV/0!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t="e">
        <f t="shared" si="177"/>
        <v>#DIV/0!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t="e">
        <f t="shared" si="155"/>
        <v>#DIV/0!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t="e">
        <f t="shared" si="177"/>
        <v>#DIV/0!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t="e">
        <f t="shared" si="155"/>
        <v>#DIV/0!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t="e">
        <f t="shared" si="177"/>
        <v>#DIV/0!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t="e">
        <f t="shared" ref="AY332:AY363" si="184">ROUND($AY$6*AZ332/$AZ$5,2)</f>
        <v>#DIV/0!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t="e">
        <f t="shared" si="177"/>
        <v>#DIV/0!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t="e">
        <f t="shared" si="184"/>
        <v>#DIV/0!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t="e">
        <f t="shared" si="177"/>
        <v>#DIV/0!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t="e">
        <f t="shared" si="184"/>
        <v>#DIV/0!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t="e">
        <f t="shared" ref="E335:E366" si="206">IF($C$3="是",ROUND($A$3*G335/$B$3,2),ROUND($A$3*(G335-AT335)/$B$3,2))</f>
        <v>#DIV/0!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t="e">
        <f t="shared" si="184"/>
        <v>#DIV/0!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t="e">
        <f t="shared" si="206"/>
        <v>#DIV/0!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t="e">
        <f t="shared" si="184"/>
        <v>#DIV/0!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t="e">
        <f t="shared" si="206"/>
        <v>#DIV/0!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t="e">
        <f t="shared" si="184"/>
        <v>#DIV/0!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t="e">
        <f t="shared" si="206"/>
        <v>#DIV/0!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t="e">
        <f t="shared" si="184"/>
        <v>#DIV/0!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t="e">
        <f t="shared" si="206"/>
        <v>#DIV/0!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t="e">
        <f t="shared" si="184"/>
        <v>#DIV/0!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t="e">
        <f t="shared" si="206"/>
        <v>#DIV/0!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t="e">
        <f t="shared" si="184"/>
        <v>#DIV/0!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t="e">
        <f t="shared" si="206"/>
        <v>#DIV/0!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t="e">
        <f t="shared" si="184"/>
        <v>#DIV/0!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t="e">
        <f t="shared" si="206"/>
        <v>#DIV/0!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t="e">
        <f t="shared" si="184"/>
        <v>#DIV/0!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t="e">
        <f t="shared" si="206"/>
        <v>#DIV/0!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t="e">
        <f t="shared" si="184"/>
        <v>#DIV/0!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t="e">
        <f t="shared" si="206"/>
        <v>#DIV/0!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t="e">
        <f t="shared" si="184"/>
        <v>#DIV/0!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t="e">
        <f t="shared" si="206"/>
        <v>#DIV/0!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t="e">
        <f t="shared" si="184"/>
        <v>#DIV/0!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t="e">
        <f t="shared" si="206"/>
        <v>#DIV/0!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t="e">
        <f t="shared" si="184"/>
        <v>#DIV/0!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t="e">
        <f t="shared" si="206"/>
        <v>#DIV/0!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t="e">
        <f t="shared" si="184"/>
        <v>#DIV/0!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t="e">
        <f t="shared" si="206"/>
        <v>#DIV/0!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t="e">
        <f t="shared" si="184"/>
        <v>#DIV/0!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t="e">
        <f t="shared" si="206"/>
        <v>#DIV/0!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t="e">
        <f t="shared" si="184"/>
        <v>#DIV/0!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t="e">
        <f t="shared" si="206"/>
        <v>#DIV/0!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t="e">
        <f t="shared" si="184"/>
        <v>#DIV/0!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t="e">
        <f t="shared" si="206"/>
        <v>#DIV/0!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t="e">
        <f t="shared" si="184"/>
        <v>#DIV/0!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t="e">
        <f t="shared" si="206"/>
        <v>#DIV/0!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t="e">
        <f t="shared" si="184"/>
        <v>#DIV/0!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t="e">
        <f t="shared" si="206"/>
        <v>#DIV/0!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t="e">
        <f t="shared" si="184"/>
        <v>#DIV/0!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t="e">
        <f t="shared" si="206"/>
        <v>#DIV/0!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t="e">
        <f t="shared" si="184"/>
        <v>#DIV/0!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t="e">
        <f t="shared" si="206"/>
        <v>#DIV/0!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t="e">
        <f t="shared" si="184"/>
        <v>#DIV/0!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t="e">
        <f t="shared" si="206"/>
        <v>#DIV/0!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t="e">
        <f t="shared" si="184"/>
        <v>#DIV/0!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t="e">
        <f t="shared" si="206"/>
        <v>#DIV/0!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t="e">
        <f t="shared" si="184"/>
        <v>#DIV/0!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t="e">
        <f t="shared" si="206"/>
        <v>#DIV/0!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t="e">
        <f t="shared" si="184"/>
        <v>#DIV/0!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t="e">
        <f t="shared" si="206"/>
        <v>#DIV/0!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t="e">
        <f t="shared" si="184"/>
        <v>#DIV/0!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t="e">
        <f t="shared" si="206"/>
        <v>#DIV/0!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t="e">
        <f t="shared" si="184"/>
        <v>#DIV/0!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t="e">
        <f t="shared" si="206"/>
        <v>#DIV/0!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t="e">
        <f t="shared" si="184"/>
        <v>#DIV/0!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t="e">
        <f t="shared" si="206"/>
        <v>#DIV/0!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t="e">
        <f t="shared" si="184"/>
        <v>#DIV/0!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t="e">
        <f t="shared" si="206"/>
        <v>#DIV/0!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t="e">
        <f t="shared" si="184"/>
        <v>#DIV/0!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t="e">
        <f t="shared" si="206"/>
        <v>#DIV/0!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t="e">
        <f t="shared" ref="AY364:AY397" si="213">ROUND($AY$6*AZ364/$AZ$5,2)</f>
        <v>#DIV/0!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t="e">
        <f t="shared" si="206"/>
        <v>#DIV/0!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t="e">
        <f t="shared" si="213"/>
        <v>#DIV/0!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t="e">
        <f t="shared" si="206"/>
        <v>#DIV/0!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t="e">
        <f t="shared" si="213"/>
        <v>#DIV/0!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t="e">
        <f t="shared" ref="E367:E397" si="235">IF($C$3="是",ROUND($A$3*G367/$B$3,2),ROUND($A$3*(G367-AT367)/$B$3,2))</f>
        <v>#DIV/0!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t="e">
        <f t="shared" si="213"/>
        <v>#DIV/0!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t="e">
        <f t="shared" si="235"/>
        <v>#DIV/0!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t="e">
        <f t="shared" si="213"/>
        <v>#DIV/0!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t="e">
        <f t="shared" si="235"/>
        <v>#DIV/0!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t="e">
        <f t="shared" si="213"/>
        <v>#DIV/0!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t="e">
        <f t="shared" si="235"/>
        <v>#DIV/0!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t="e">
        <f t="shared" si="213"/>
        <v>#DIV/0!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t="e">
        <f t="shared" si="235"/>
        <v>#DIV/0!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t="e">
        <f t="shared" si="213"/>
        <v>#DIV/0!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t="e">
        <f t="shared" si="235"/>
        <v>#DIV/0!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t="e">
        <f t="shared" si="213"/>
        <v>#DIV/0!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t="e">
        <f t="shared" si="235"/>
        <v>#DIV/0!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t="e">
        <f t="shared" si="213"/>
        <v>#DIV/0!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t="e">
        <f t="shared" si="235"/>
        <v>#DIV/0!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t="e">
        <f t="shared" si="213"/>
        <v>#DIV/0!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t="e">
        <f t="shared" si="235"/>
        <v>#DIV/0!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t="e">
        <f t="shared" si="213"/>
        <v>#DIV/0!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t="e">
        <f t="shared" si="235"/>
        <v>#DIV/0!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t="e">
        <f t="shared" si="213"/>
        <v>#DIV/0!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t="e">
        <f t="shared" si="235"/>
        <v>#DIV/0!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t="e">
        <f t="shared" si="213"/>
        <v>#DIV/0!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t="e">
        <f t="shared" si="235"/>
        <v>#DIV/0!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t="e">
        <f t="shared" si="213"/>
        <v>#DIV/0!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t="e">
        <f t="shared" si="235"/>
        <v>#DIV/0!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t="e">
        <f t="shared" si="213"/>
        <v>#DIV/0!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t="e">
        <f t="shared" si="235"/>
        <v>#DIV/0!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t="e">
        <f t="shared" si="213"/>
        <v>#DIV/0!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t="e">
        <f t="shared" si="235"/>
        <v>#DIV/0!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t="e">
        <f t="shared" si="213"/>
        <v>#DIV/0!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t="e">
        <f t="shared" si="235"/>
        <v>#DIV/0!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t="e">
        <f t="shared" si="213"/>
        <v>#DIV/0!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t="e">
        <f t="shared" si="235"/>
        <v>#DIV/0!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t="e">
        <f t="shared" si="213"/>
        <v>#DIV/0!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t="e">
        <f t="shared" si="235"/>
        <v>#DIV/0!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t="e">
        <f t="shared" si="213"/>
        <v>#DIV/0!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t="e">
        <f t="shared" si="235"/>
        <v>#DIV/0!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t="e">
        <f t="shared" si="213"/>
        <v>#DIV/0!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t="e">
        <f t="shared" si="235"/>
        <v>#DIV/0!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t="e">
        <f t="shared" si="213"/>
        <v>#DIV/0!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t="e">
        <f t="shared" si="235"/>
        <v>#DIV/0!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t="e">
        <f t="shared" si="213"/>
        <v>#DIV/0!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t="e">
        <f t="shared" si="235"/>
        <v>#DIV/0!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t="e">
        <f t="shared" si="213"/>
        <v>#DIV/0!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t="e">
        <f t="shared" si="235"/>
        <v>#DIV/0!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t="e">
        <f t="shared" si="213"/>
        <v>#DIV/0!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t="e">
        <f t="shared" si="235"/>
        <v>#DIV/0!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t="e">
        <f t="shared" si="213"/>
        <v>#DIV/0!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t="e">
        <f t="shared" si="235"/>
        <v>#DIV/0!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t="e">
        <f t="shared" si="213"/>
        <v>#DIV/0!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t="e">
        <f t="shared" si="235"/>
        <v>#DIV/0!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t="e">
        <f t="shared" si="213"/>
        <v>#DIV/0!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t="e">
        <f t="shared" si="235"/>
        <v>#DIV/0!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t="e">
        <f t="shared" si="213"/>
        <v>#DIV/0!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t="e">
        <f t="shared" si="235"/>
        <v>#DIV/0!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t="e">
        <f t="shared" si="213"/>
        <v>#DIV/0!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t="e">
        <f t="shared" si="235"/>
        <v>#DIV/0!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t="e">
        <f t="shared" si="213"/>
        <v>#DIV/0!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t="e">
        <f t="shared" si="235"/>
        <v>#DIV/0!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t="e">
        <f t="shared" si="213"/>
        <v>#DIV/0!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t="e">
        <f t="shared" si="235"/>
        <v>#DIV/0!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t="e">
        <f t="shared" si="213"/>
        <v>#DIV/0!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t="e">
        <f t="shared" ref="E398:E492" si="239">IF($C$3="是",ROUND($A$3*G398/$B$3,2),ROUND($A$3*(G398-AT398)/$B$3,2))</f>
        <v>#DIV/0!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t="e">
        <f t="shared" ref="AY398:AY489" si="246">ROUND($AY$6*AZ398/$AZ$5,2)</f>
        <v>#DIV/0!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t="e">
        <f t="shared" si="239"/>
        <v>#DIV/0!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t="e">
        <f t="shared" si="246"/>
        <v>#DIV/0!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t="e">
        <f t="shared" si="239"/>
        <v>#DIV/0!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t="e">
        <f t="shared" si="246"/>
        <v>#DIV/0!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t="e">
        <f t="shared" si="239"/>
        <v>#DIV/0!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t="e">
        <f t="shared" si="246"/>
        <v>#DIV/0!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t="e">
        <f t="shared" si="239"/>
        <v>#DIV/0!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t="e">
        <f t="shared" si="246"/>
        <v>#DIV/0!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t="e">
        <f t="shared" si="239"/>
        <v>#DIV/0!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t="e">
        <f t="shared" si="246"/>
        <v>#DIV/0!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t="e">
        <f t="shared" si="239"/>
        <v>#DIV/0!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t="e">
        <f t="shared" si="246"/>
        <v>#DIV/0!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t="e">
        <f t="shared" si="239"/>
        <v>#DIV/0!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t="e">
        <f t="shared" si="246"/>
        <v>#DIV/0!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t="e">
        <f t="shared" si="239"/>
        <v>#DIV/0!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t="e">
        <f t="shared" si="246"/>
        <v>#DIV/0!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t="e">
        <f t="shared" si="239"/>
        <v>#DIV/0!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t="e">
        <f t="shared" si="246"/>
        <v>#DIV/0!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t="e">
        <f t="shared" si="239"/>
        <v>#DIV/0!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t="e">
        <f t="shared" si="246"/>
        <v>#DIV/0!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t="e">
        <f t="shared" si="239"/>
        <v>#DIV/0!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t="e">
        <f t="shared" si="246"/>
        <v>#DIV/0!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t="e">
        <f t="shared" si="239"/>
        <v>#DIV/0!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t="e">
        <f t="shared" si="246"/>
        <v>#DIV/0!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t="e">
        <f t="shared" si="239"/>
        <v>#DIV/0!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t="e">
        <f t="shared" si="246"/>
        <v>#DIV/0!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t="e">
        <f t="shared" si="239"/>
        <v>#DIV/0!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t="e">
        <f t="shared" si="246"/>
        <v>#DIV/0!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t="e">
        <f t="shared" si="239"/>
        <v>#DIV/0!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t="e">
        <f t="shared" si="246"/>
        <v>#DIV/0!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t="e">
        <f t="shared" si="239"/>
        <v>#DIV/0!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t="e">
        <f t="shared" si="246"/>
        <v>#DIV/0!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t="e">
        <f t="shared" si="239"/>
        <v>#DIV/0!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t="e">
        <f t="shared" si="246"/>
        <v>#DIV/0!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t="e">
        <f t="shared" si="239"/>
        <v>#DIV/0!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t="e">
        <f t="shared" si="246"/>
        <v>#DIV/0!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t="e">
        <f t="shared" si="239"/>
        <v>#DIV/0!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t="e">
        <f t="shared" si="246"/>
        <v>#DIV/0!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t="e">
        <f t="shared" si="239"/>
        <v>#DIV/0!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t="e">
        <f t="shared" si="246"/>
        <v>#DIV/0!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t="e">
        <f t="shared" si="239"/>
        <v>#DIV/0!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t="e">
        <f t="shared" si="246"/>
        <v>#DIV/0!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t="e">
        <f t="shared" si="239"/>
        <v>#DIV/0!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t="e">
        <f t="shared" si="246"/>
        <v>#DIV/0!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t="e">
        <f t="shared" si="239"/>
        <v>#DIV/0!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t="e">
        <f t="shared" si="246"/>
        <v>#DIV/0!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t="e">
        <f t="shared" si="239"/>
        <v>#DIV/0!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t="e">
        <f t="shared" si="246"/>
        <v>#DIV/0!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t="e">
        <f t="shared" si="239"/>
        <v>#DIV/0!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t="e">
        <f t="shared" si="246"/>
        <v>#DIV/0!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t="e">
        <f t="shared" si="239"/>
        <v>#DIV/0!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t="e">
        <f t="shared" si="246"/>
        <v>#DIV/0!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t="e">
        <f t="shared" si="239"/>
        <v>#DIV/0!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t="e">
        <f t="shared" si="246"/>
        <v>#DIV/0!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t="e">
        <f t="shared" si="239"/>
        <v>#DIV/0!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t="e">
        <f t="shared" si="246"/>
        <v>#DIV/0!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t="e">
        <f t="shared" si="239"/>
        <v>#DIV/0!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t="e">
        <f t="shared" si="246"/>
        <v>#DIV/0!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t="e">
        <f t="shared" si="239"/>
        <v>#DIV/0!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t="e">
        <f t="shared" si="246"/>
        <v>#DIV/0!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t="e">
        <f t="shared" si="239"/>
        <v>#DIV/0!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t="e">
        <f t="shared" si="246"/>
        <v>#DIV/0!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t="e">
        <f t="shared" si="239"/>
        <v>#DIV/0!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t="e">
        <f t="shared" si="246"/>
        <v>#DIV/0!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t="e">
        <f t="shared" si="239"/>
        <v>#DIV/0!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t="e">
        <f t="shared" si="246"/>
        <v>#DIV/0!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t="e">
        <f t="shared" si="239"/>
        <v>#DIV/0!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t="e">
        <f t="shared" si="246"/>
        <v>#DIV/0!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t="e">
        <f t="shared" si="239"/>
        <v>#DIV/0!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t="e">
        <f t="shared" si="246"/>
        <v>#DIV/0!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t="e">
        <f t="shared" si="239"/>
        <v>#DIV/0!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t="e">
        <f t="shared" si="246"/>
        <v>#DIV/0!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t="e">
        <f t="shared" si="239"/>
        <v>#DIV/0!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t="e">
        <f t="shared" si="246"/>
        <v>#DIV/0!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t="e">
        <f t="shared" si="239"/>
        <v>#DIV/0!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t="e">
        <f t="shared" si="246"/>
        <v>#DIV/0!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t="e">
        <f t="shared" si="239"/>
        <v>#DIV/0!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t="e">
        <f t="shared" si="246"/>
        <v>#DIV/0!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t="e">
        <f t="shared" si="239"/>
        <v>#DIV/0!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t="e">
        <f t="shared" si="246"/>
        <v>#DIV/0!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t="e">
        <f t="shared" si="239"/>
        <v>#DIV/0!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t="e">
        <f t="shared" si="246"/>
        <v>#DIV/0!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t="e">
        <f t="shared" si="239"/>
        <v>#DIV/0!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t="e">
        <f t="shared" si="246"/>
        <v>#DIV/0!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t="e">
        <f t="shared" si="239"/>
        <v>#DIV/0!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t="e">
        <f t="shared" si="246"/>
        <v>#DIV/0!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t="e">
        <f t="shared" si="239"/>
        <v>#DIV/0!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t="e">
        <f t="shared" si="246"/>
        <v>#DIV/0!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t="e">
        <f t="shared" si="239"/>
        <v>#DIV/0!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t="e">
        <f t="shared" si="246"/>
        <v>#DIV/0!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t="e">
        <f t="shared" si="239"/>
        <v>#DIV/0!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t="e">
        <f t="shared" si="246"/>
        <v>#DIV/0!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t="e">
        <f t="shared" si="239"/>
        <v>#DIV/0!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t="e">
        <f t="shared" si="246"/>
        <v>#DIV/0!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t="e">
        <f t="shared" si="239"/>
        <v>#DIV/0!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t="e">
        <f t="shared" si="246"/>
        <v>#DIV/0!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t="e">
        <f t="shared" si="239"/>
        <v>#DIV/0!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t="e">
        <f t="shared" si="246"/>
        <v>#DIV/0!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t="e">
        <f t="shared" si="239"/>
        <v>#DIV/0!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t="e">
        <f t="shared" si="246"/>
        <v>#DIV/0!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t="e">
        <f t="shared" si="239"/>
        <v>#DIV/0!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t="e">
        <f t="shared" si="246"/>
        <v>#DIV/0!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t="e">
        <f t="shared" si="239"/>
        <v>#DIV/0!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t="e">
        <f t="shared" si="246"/>
        <v>#DIV/0!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t="e">
        <f t="shared" si="239"/>
        <v>#DIV/0!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t="e">
        <f t="shared" si="246"/>
        <v>#DIV/0!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t="e">
        <f t="shared" si="239"/>
        <v>#DIV/0!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t="e">
        <f t="shared" si="246"/>
        <v>#DIV/0!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t="e">
        <f t="shared" si="239"/>
        <v>#DIV/0!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t="e">
        <f t="shared" si="246"/>
        <v>#DIV/0!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t="e">
        <f t="shared" si="239"/>
        <v>#DIV/0!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t="e">
        <f t="shared" si="246"/>
        <v>#DIV/0!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t="e">
        <f t="shared" si="239"/>
        <v>#DIV/0!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t="e">
        <f t="shared" si="246"/>
        <v>#DIV/0!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t="e">
        <f t="shared" si="239"/>
        <v>#DIV/0!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t="e">
        <f t="shared" si="246"/>
        <v>#DIV/0!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t="e">
        <f t="shared" si="239"/>
        <v>#DIV/0!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t="e">
        <f t="shared" si="246"/>
        <v>#DIV/0!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t="e">
        <f t="shared" si="239"/>
        <v>#DIV/0!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t="e">
        <f t="shared" si="246"/>
        <v>#DIV/0!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t="e">
        <f t="shared" si="239"/>
        <v>#DIV/0!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t="e">
        <f t="shared" si="246"/>
        <v>#DIV/0!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t="e">
        <f t="shared" si="239"/>
        <v>#DIV/0!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t="e">
        <f t="shared" si="246"/>
        <v>#DIV/0!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t="e">
        <f t="shared" si="239"/>
        <v>#DIV/0!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t="e">
        <f t="shared" si="246"/>
        <v>#DIV/0!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t="e">
        <f t="shared" si="239"/>
        <v>#DIV/0!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t="e">
        <f t="shared" si="246"/>
        <v>#DIV/0!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t="e">
        <f t="shared" si="239"/>
        <v>#DIV/0!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t="e">
        <f t="shared" si="246"/>
        <v>#DIV/0!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t="e">
        <f t="shared" si="239"/>
        <v>#DIV/0!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t="e">
        <f t="shared" si="246"/>
        <v>#DIV/0!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t="e">
        <f t="shared" si="239"/>
        <v>#DIV/0!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t="e">
        <f t="shared" si="246"/>
        <v>#DIV/0!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t="e">
        <f t="shared" si="239"/>
        <v>#DIV/0!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t="e">
        <f t="shared" si="246"/>
        <v>#DIV/0!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t="e">
        <f t="shared" si="239"/>
        <v>#DIV/0!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t="e">
        <f t="shared" si="246"/>
        <v>#DIV/0!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t="e">
        <f t="shared" si="239"/>
        <v>#DIV/0!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t="e">
        <f t="shared" si="246"/>
        <v>#DIV/0!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t="e">
        <f t="shared" si="239"/>
        <v>#DIV/0!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t="e">
        <f t="shared" si="246"/>
        <v>#DIV/0!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t="e">
        <f t="shared" si="239"/>
        <v>#DIV/0!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t="e">
        <f t="shared" si="246"/>
        <v>#DIV/0!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t="e">
        <f t="shared" si="239"/>
        <v>#DIV/0!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t="e">
        <f t="shared" si="246"/>
        <v>#DIV/0!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t="e">
        <f t="shared" si="239"/>
        <v>#DIV/0!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t="e">
        <f t="shared" si="246"/>
        <v>#DIV/0!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t="e">
        <f t="shared" si="239"/>
        <v>#DIV/0!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t="e">
        <f t="shared" si="246"/>
        <v>#DIV/0!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t="e">
        <f t="shared" si="239"/>
        <v>#DIV/0!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t="e">
        <f t="shared" si="246"/>
        <v>#DIV/0!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t="e">
        <f t="shared" si="239"/>
        <v>#DIV/0!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t="e">
        <f t="shared" si="246"/>
        <v>#DIV/0!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t="e">
        <f t="shared" si="239"/>
        <v>#DIV/0!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t="e">
        <f t="shared" si="246"/>
        <v>#DIV/0!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t="e">
        <f t="shared" si="239"/>
        <v>#DIV/0!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t="e">
        <f t="shared" si="246"/>
        <v>#DIV/0!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t="e">
        <f t="shared" si="239"/>
        <v>#DIV/0!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t="e">
        <f t="shared" si="246"/>
        <v>#DIV/0!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t="e">
        <f t="shared" si="239"/>
        <v>#DIV/0!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t="e">
        <f t="shared" si="246"/>
        <v>#DIV/0!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t="e">
        <f t="shared" si="239"/>
        <v>#DIV/0!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t="e">
        <f t="shared" si="246"/>
        <v>#DIV/0!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t="e">
        <f t="shared" si="239"/>
        <v>#DIV/0!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t="e">
        <f t="shared" si="246"/>
        <v>#DIV/0!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t="e">
        <f t="shared" si="239"/>
        <v>#DIV/0!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t="e">
        <f t="shared" si="246"/>
        <v>#DIV/0!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t="e">
        <f t="shared" si="239"/>
        <v>#DIV/0!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t="e">
        <f t="shared" si="246"/>
        <v>#DIV/0!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t="e">
        <f t="shared" si="239"/>
        <v>#DIV/0!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t="e">
        <f t="shared" si="246"/>
        <v>#DIV/0!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t="e">
        <f t="shared" si="239"/>
        <v>#DIV/0!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t="e">
        <f t="shared" si="246"/>
        <v>#DIV/0!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t="e">
        <f t="shared" si="239"/>
        <v>#DIV/0!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t="e">
        <f t="shared" si="246"/>
        <v>#DIV/0!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t="e">
        <f t="shared" si="239"/>
        <v>#DIV/0!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t="e">
        <f t="shared" si="246"/>
        <v>#DIV/0!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t="e">
        <f t="shared" si="239"/>
        <v>#DIV/0!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t="e">
        <f t="shared" si="246"/>
        <v>#DIV/0!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t="e">
        <f t="shared" si="239"/>
        <v>#DIV/0!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t="e">
        <f t="shared" si="246"/>
        <v>#DIV/0!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t="e">
        <f t="shared" si="239"/>
        <v>#DIV/0!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t="e">
        <f t="shared" ref="AY490:AY521" si="271">ROUND($AY$6*AZ490/$AZ$5,2)</f>
        <v>#DIV/0!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t="e">
        <f t="shared" si="239"/>
        <v>#DIV/0!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t="e">
        <f t="shared" si="271"/>
        <v>#DIV/0!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t="e">
        <f t="shared" si="239"/>
        <v>#DIV/0!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t="e">
        <f t="shared" si="271"/>
        <v>#DIV/0!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t="e">
        <f t="shared" ref="E493:E519" si="293">IF($C$3="是",ROUND($A$3*G493/$B$3,2),ROUND($A$3*(G493-AT493)/$B$3,2))</f>
        <v>#DIV/0!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t="e">
        <f t="shared" si="271"/>
        <v>#DIV/0!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t="e">
        <f t="shared" si="293"/>
        <v>#DIV/0!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t="e">
        <f t="shared" si="271"/>
        <v>#DIV/0!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t="e">
        <f t="shared" si="293"/>
        <v>#DIV/0!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t="e">
        <f t="shared" si="271"/>
        <v>#DIV/0!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t="e">
        <f t="shared" si="293"/>
        <v>#DIV/0!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t="e">
        <f t="shared" si="271"/>
        <v>#DIV/0!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t="e">
        <f t="shared" si="293"/>
        <v>#DIV/0!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t="e">
        <f t="shared" si="271"/>
        <v>#DIV/0!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t="e">
        <f t="shared" si="293"/>
        <v>#DIV/0!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t="e">
        <f t="shared" si="271"/>
        <v>#DIV/0!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t="e">
        <f t="shared" si="293"/>
        <v>#DIV/0!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t="e">
        <f t="shared" si="271"/>
        <v>#DIV/0!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t="e">
        <f t="shared" si="293"/>
        <v>#DIV/0!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t="e">
        <f t="shared" si="271"/>
        <v>#DIV/0!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t="e">
        <f t="shared" si="293"/>
        <v>#DIV/0!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t="e">
        <f t="shared" si="271"/>
        <v>#DIV/0!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t="e">
        <f t="shared" si="293"/>
        <v>#DIV/0!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t="e">
        <f t="shared" si="271"/>
        <v>#DIV/0!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t="e">
        <f t="shared" si="293"/>
        <v>#DIV/0!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t="e">
        <f t="shared" si="271"/>
        <v>#DIV/0!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t="e">
        <f t="shared" si="293"/>
        <v>#DIV/0!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t="e">
        <f t="shared" si="271"/>
        <v>#DIV/0!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t="e">
        <f t="shared" si="293"/>
        <v>#DIV/0!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t="e">
        <f t="shared" si="271"/>
        <v>#DIV/0!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t="e">
        <f t="shared" si="293"/>
        <v>#DIV/0!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t="e">
        <f t="shared" si="271"/>
        <v>#DIV/0!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t="e">
        <f t="shared" si="293"/>
        <v>#DIV/0!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t="e">
        <f t="shared" si="271"/>
        <v>#DIV/0!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t="e">
        <f t="shared" si="293"/>
        <v>#DIV/0!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t="e">
        <f t="shared" si="271"/>
        <v>#DIV/0!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t="e">
        <f t="shared" si="293"/>
        <v>#DIV/0!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t="e">
        <f t="shared" si="271"/>
        <v>#DIV/0!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t="e">
        <f t="shared" si="293"/>
        <v>#DIV/0!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t="e">
        <f t="shared" si="271"/>
        <v>#DIV/0!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t="e">
        <f t="shared" si="293"/>
        <v>#DIV/0!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t="e">
        <f t="shared" si="271"/>
        <v>#DIV/0!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t="e">
        <f t="shared" si="293"/>
        <v>#DIV/0!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t="e">
        <f t="shared" si="271"/>
        <v>#DIV/0!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t="e">
        <f t="shared" si="293"/>
        <v>#DIV/0!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t="e">
        <f t="shared" si="271"/>
        <v>#DIV/0!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t="e">
        <f t="shared" si="293"/>
        <v>#DIV/0!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t="e">
        <f t="shared" si="271"/>
        <v>#DIV/0!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t="e">
        <f t="shared" si="293"/>
        <v>#DIV/0!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t="e">
        <f t="shared" si="271"/>
        <v>#DIV/0!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t="e">
        <f t="shared" si="293"/>
        <v>#DIV/0!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t="e">
        <f t="shared" si="271"/>
        <v>#DIV/0!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t="e">
        <f t="shared" si="293"/>
        <v>#DIV/0!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t="e">
        <f t="shared" si="271"/>
        <v>#DIV/0!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t="e">
        <f t="shared" si="293"/>
        <v>#DIV/0!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t="e">
        <f t="shared" si="271"/>
        <v>#DIV/0!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t="e">
        <f t="shared" si="293"/>
        <v>#DIV/0!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t="e">
        <f t="shared" si="271"/>
        <v>#DIV/0!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t="e">
        <f t="shared" ref="E520:E551" si="297">IF($C$3="是",ROUND($A$3*G520/$B$3,2),ROUND($A$3*(G520-AT520)/$B$3,2))</f>
        <v>#DIV/0!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t="e">
        <f t="shared" si="271"/>
        <v>#DIV/0!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t="e">
        <f t="shared" si="297"/>
        <v>#DIV/0!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t="e">
        <f t="shared" si="271"/>
        <v>#DIV/0!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t="e">
        <f t="shared" si="297"/>
        <v>#DIV/0!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t="e">
        <f t="shared" ref="AY522:AY552" si="304">ROUND($AY$6*AZ522/$AZ$5,2)</f>
        <v>#DIV/0!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t="e">
        <f t="shared" si="297"/>
        <v>#DIV/0!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t="e">
        <f t="shared" si="304"/>
        <v>#DIV/0!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t="e">
        <f t="shared" si="297"/>
        <v>#DIV/0!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t="e">
        <f t="shared" si="304"/>
        <v>#DIV/0!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t="e">
        <f t="shared" si="297"/>
        <v>#DIV/0!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t="e">
        <f t="shared" si="304"/>
        <v>#DIV/0!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t="e">
        <f t="shared" si="297"/>
        <v>#DIV/0!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t="e">
        <f t="shared" si="304"/>
        <v>#DIV/0!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t="e">
        <f t="shared" si="297"/>
        <v>#DIV/0!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t="e">
        <f t="shared" si="304"/>
        <v>#DIV/0!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t="e">
        <f t="shared" si="297"/>
        <v>#DIV/0!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t="e">
        <f t="shared" si="304"/>
        <v>#DIV/0!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t="e">
        <f t="shared" si="297"/>
        <v>#DIV/0!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t="e">
        <f t="shared" si="304"/>
        <v>#DIV/0!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t="e">
        <f t="shared" si="297"/>
        <v>#DIV/0!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t="e">
        <f t="shared" si="304"/>
        <v>#DIV/0!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t="e">
        <f t="shared" si="297"/>
        <v>#DIV/0!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t="e">
        <f t="shared" si="304"/>
        <v>#DIV/0!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t="e">
        <f t="shared" si="297"/>
        <v>#DIV/0!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t="e">
        <f t="shared" si="304"/>
        <v>#DIV/0!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t="e">
        <f t="shared" si="297"/>
        <v>#DIV/0!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t="e">
        <f t="shared" si="304"/>
        <v>#DIV/0!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t="e">
        <f t="shared" si="297"/>
        <v>#DIV/0!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t="e">
        <f t="shared" si="304"/>
        <v>#DIV/0!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t="e">
        <f t="shared" si="297"/>
        <v>#DIV/0!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t="e">
        <f t="shared" si="304"/>
        <v>#DIV/0!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t="e">
        <f t="shared" si="297"/>
        <v>#DIV/0!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t="e">
        <f t="shared" si="304"/>
        <v>#DIV/0!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t="e">
        <f t="shared" si="297"/>
        <v>#DIV/0!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t="e">
        <f t="shared" si="304"/>
        <v>#DIV/0!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t="e">
        <f t="shared" si="297"/>
        <v>#DIV/0!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t="e">
        <f t="shared" si="304"/>
        <v>#DIV/0!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t="e">
        <f t="shared" si="297"/>
        <v>#DIV/0!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t="e">
        <f t="shared" si="304"/>
        <v>#DIV/0!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t="e">
        <f t="shared" si="297"/>
        <v>#DIV/0!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t="e">
        <f t="shared" si="304"/>
        <v>#DIV/0!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t="e">
        <f t="shared" si="297"/>
        <v>#DIV/0!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t="e">
        <f t="shared" si="304"/>
        <v>#DIV/0!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t="e">
        <f t="shared" si="297"/>
        <v>#DIV/0!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t="e">
        <f t="shared" si="304"/>
        <v>#DIV/0!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t="e">
        <f t="shared" si="297"/>
        <v>#DIV/0!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t="e">
        <f t="shared" si="304"/>
        <v>#DIV/0!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t="e">
        <f t="shared" si="297"/>
        <v>#DIV/0!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t="e">
        <f t="shared" si="304"/>
        <v>#DIV/0!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t="e">
        <f t="shared" si="297"/>
        <v>#DIV/0!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t="e">
        <f t="shared" si="304"/>
        <v>#DIV/0!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t="e">
        <f t="shared" si="297"/>
        <v>#DIV/0!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t="e">
        <f t="shared" si="304"/>
        <v>#DIV/0!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t="e">
        <f t="shared" si="297"/>
        <v>#DIV/0!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t="e">
        <f t="shared" si="304"/>
        <v>#DIV/0!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t="e">
        <f t="shared" si="297"/>
        <v>#DIV/0!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t="e">
        <f t="shared" si="304"/>
        <v>#DIV/0!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t="e">
        <f t="shared" si="297"/>
        <v>#DIV/0!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t="e">
        <f t="shared" si="304"/>
        <v>#DIV/0!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t="e">
        <f t="shared" si="297"/>
        <v>#DIV/0!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t="e">
        <f t="shared" si="304"/>
        <v>#DIV/0!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t="e">
        <f t="shared" si="297"/>
        <v>#DIV/0!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t="e">
        <f t="shared" si="304"/>
        <v>#DIV/0!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t="e">
        <f t="shared" ref="E552:E587" si="326">IF($C$3="是",ROUND($A$3*G552/$B$3,2),ROUND($A$3*(G552-AT552)/$B$3,2))</f>
        <v>#DIV/0!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t="e">
        <f t="shared" si="304"/>
        <v>#DIV/0!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t="e">
        <f t="shared" si="326"/>
        <v>#DIV/0!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t="e">
        <f t="shared" ref="AY553:AY587" si="333">ROUND($AY$6*AZ553/$AZ$5,2)</f>
        <v>#DIV/0!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t="e">
        <f t="shared" si="326"/>
        <v>#DIV/0!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t="e">
        <f t="shared" si="333"/>
        <v>#DIV/0!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t="e">
        <f t="shared" si="326"/>
        <v>#DIV/0!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t="e">
        <f t="shared" si="333"/>
        <v>#DIV/0!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t="e">
        <f t="shared" si="326"/>
        <v>#DIV/0!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t="e">
        <f t="shared" si="333"/>
        <v>#DIV/0!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t="e">
        <f t="shared" si="326"/>
        <v>#DIV/0!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t="e">
        <f t="shared" si="333"/>
        <v>#DIV/0!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t="e">
        <f t="shared" si="326"/>
        <v>#DIV/0!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t="e">
        <f t="shared" si="333"/>
        <v>#DIV/0!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t="e">
        <f t="shared" si="326"/>
        <v>#DIV/0!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t="e">
        <f t="shared" si="333"/>
        <v>#DIV/0!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t="e">
        <f t="shared" si="326"/>
        <v>#DIV/0!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t="e">
        <f t="shared" si="333"/>
        <v>#DIV/0!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t="e">
        <f t="shared" si="326"/>
        <v>#DIV/0!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t="e">
        <f t="shared" si="333"/>
        <v>#DIV/0!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t="e">
        <f t="shared" si="326"/>
        <v>#DIV/0!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t="e">
        <f t="shared" si="333"/>
        <v>#DIV/0!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t="e">
        <f t="shared" si="326"/>
        <v>#DIV/0!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t="e">
        <f t="shared" si="333"/>
        <v>#DIV/0!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t="e">
        <f t="shared" si="326"/>
        <v>#DIV/0!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t="e">
        <f t="shared" si="333"/>
        <v>#DIV/0!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t="e">
        <f t="shared" si="326"/>
        <v>#DIV/0!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t="e">
        <f t="shared" si="333"/>
        <v>#DIV/0!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t="e">
        <f t="shared" si="326"/>
        <v>#DIV/0!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t="e">
        <f t="shared" si="333"/>
        <v>#DIV/0!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t="e">
        <f t="shared" si="326"/>
        <v>#DIV/0!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t="e">
        <f t="shared" si="333"/>
        <v>#DIV/0!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t="e">
        <f t="shared" si="326"/>
        <v>#DIV/0!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t="e">
        <f t="shared" si="333"/>
        <v>#DIV/0!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t="e">
        <f t="shared" si="326"/>
        <v>#DIV/0!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t="e">
        <f t="shared" si="333"/>
        <v>#DIV/0!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t="e">
        <f t="shared" si="326"/>
        <v>#DIV/0!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t="e">
        <f t="shared" si="333"/>
        <v>#DIV/0!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t="e">
        <f t="shared" si="326"/>
        <v>#DIV/0!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t="e">
        <f t="shared" si="333"/>
        <v>#DIV/0!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t="e">
        <f t="shared" si="326"/>
        <v>#DIV/0!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t="e">
        <f t="shared" si="333"/>
        <v>#DIV/0!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t="e">
        <f t="shared" si="326"/>
        <v>#DIV/0!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t="e">
        <f t="shared" si="333"/>
        <v>#DIV/0!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t="e">
        <f t="shared" si="326"/>
        <v>#DIV/0!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t="e">
        <f t="shared" si="333"/>
        <v>#DIV/0!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t="e">
        <f t="shared" si="326"/>
        <v>#DIV/0!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t="e">
        <f t="shared" si="333"/>
        <v>#DIV/0!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t="e">
        <f t="shared" si="326"/>
        <v>#DIV/0!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t="e">
        <f t="shared" si="333"/>
        <v>#DIV/0!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t="e">
        <f t="shared" si="326"/>
        <v>#DIV/0!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t="e">
        <f t="shared" si="333"/>
        <v>#DIV/0!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t="e">
        <f t="shared" si="326"/>
        <v>#DIV/0!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t="e">
        <f t="shared" si="333"/>
        <v>#DIV/0!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t="e">
        <f t="shared" si="326"/>
        <v>#DIV/0!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t="e">
        <f t="shared" si="333"/>
        <v>#DIV/0!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t="e">
        <f t="shared" si="326"/>
        <v>#DIV/0!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t="e">
        <f t="shared" si="333"/>
        <v>#DIV/0!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t="e">
        <f t="shared" si="326"/>
        <v>#DIV/0!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t="e">
        <f t="shared" si="333"/>
        <v>#DIV/0!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t="e">
        <f t="shared" si="326"/>
        <v>#DIV/0!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t="e">
        <f t="shared" si="333"/>
        <v>#DIV/0!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t="e">
        <f t="shared" si="326"/>
        <v>#DIV/0!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t="e">
        <f t="shared" si="333"/>
        <v>#DIV/0!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t="e">
        <f t="shared" si="326"/>
        <v>#DIV/0!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t="e">
        <f t="shared" si="333"/>
        <v>#DIV/0!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t="e">
        <f t="shared" si="326"/>
        <v>#DIV/0!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t="e">
        <f t="shared" si="333"/>
        <v>#DIV/0!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t="e">
        <f t="shared" si="326"/>
        <v>#DIV/0!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t="e">
        <f t="shared" si="333"/>
        <v>#DIV/0!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t="e">
        <f t="shared" si="326"/>
        <v>#DIV/0!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t="e">
        <f t="shared" si="333"/>
        <v>#DIV/0!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454545454545" defaultRowHeight="14"/>
  <cols>
    <col min="1" max="1" width="12.1272727272727" style="3120" customWidth="1"/>
    <col min="2" max="2" width="10.2545454545455" style="3120" customWidth="1"/>
    <col min="3" max="3" width="18.5" style="3120" customWidth="1"/>
    <col min="4" max="4" width="11.6272727272727" style="3120" customWidth="1"/>
    <col min="5" max="5" width="13.3727272727273" style="3120" customWidth="1"/>
    <col min="6" max="8" width="11.5" style="3120" customWidth="1"/>
    <col min="9" max="9" width="11.1272727272727" style="3120" customWidth="1"/>
    <col min="10" max="10" width="3.12727272727273" style="3121" customWidth="1"/>
    <col min="11" max="16" width="10" style="3120" customWidth="1"/>
    <col min="17" max="17" width="2.62727272727273" style="3120" customWidth="1"/>
    <col min="18" max="18" width="9.37272727272727" style="3120" customWidth="1"/>
    <col min="19" max="19" width="10.5" style="3120" customWidth="1"/>
    <col min="20" max="16384" width="9.25454545454545" style="3120"/>
  </cols>
  <sheetData>
    <row r="1" ht="18.25" spans="1:16">
      <c r="A1" s="2482" t="s">
        <v>551</v>
      </c>
      <c r="B1" s="2568"/>
      <c r="C1" s="2568"/>
      <c r="D1" s="2568"/>
      <c r="E1" s="2568"/>
      <c r="F1" s="2568"/>
      <c r="G1" s="2568"/>
      <c r="H1" s="2568"/>
      <c r="I1" s="2568"/>
      <c r="J1" s="2568"/>
      <c r="K1" s="2568"/>
      <c r="L1" s="2568"/>
      <c r="M1" s="2568"/>
      <c r="N1" s="2568"/>
      <c r="O1" s="2568"/>
      <c r="P1" s="2568"/>
    </row>
    <row r="2" spans="1:16">
      <c r="A2" s="2398" t="s">
        <v>552</v>
      </c>
      <c r="B2" s="2398"/>
      <c r="C2" s="2398"/>
      <c r="D2" s="2398" t="s">
        <v>553</v>
      </c>
      <c r="E2" s="3122" t="s">
        <v>554</v>
      </c>
      <c r="F2" s="3123"/>
      <c r="G2" s="3124"/>
      <c r="H2" s="3125"/>
      <c r="I2" s="2746" t="s">
        <v>555</v>
      </c>
      <c r="J2" s="3123"/>
      <c r="K2" s="3123"/>
      <c r="L2" s="3123"/>
      <c r="M2" s="3123"/>
      <c r="N2" s="1491"/>
      <c r="O2" s="3123"/>
      <c r="P2" s="3123"/>
    </row>
    <row r="3" ht="14.75" spans="1:16">
      <c r="A3" s="3126" t="s">
        <v>556</v>
      </c>
      <c r="B3" s="3126"/>
      <c r="C3" s="3126"/>
      <c r="D3" s="3127" t="e">
        <f>'数据-基础表'!AY6</f>
        <v>#DIV/0!</v>
      </c>
      <c r="E3" s="3127">
        <f>'数据-基础表'!AZ5</f>
        <v>0</v>
      </c>
      <c r="F3" s="3123"/>
      <c r="G3" s="3128"/>
      <c r="H3" s="2516" t="s">
        <v>557</v>
      </c>
      <c r="I3" s="3191" t="e">
        <f>ROUND('数据-基础表'!B3/'数据-基础表'!A3,2)</f>
        <v>#DIV/0!</v>
      </c>
      <c r="J3" s="3123"/>
      <c r="K3" s="3123"/>
      <c r="L3" s="3123"/>
      <c r="M3" s="3123"/>
      <c r="N3" s="1491"/>
      <c r="O3" s="3123"/>
      <c r="P3" s="3123"/>
    </row>
    <row r="4" spans="1:16">
      <c r="A4" s="2744"/>
      <c r="B4" s="2745"/>
      <c r="C4" s="3129"/>
      <c r="D4" s="3130" t="s">
        <v>553</v>
      </c>
      <c r="E4" s="3131" t="s">
        <v>554</v>
      </c>
      <c r="F4" s="3123"/>
      <c r="G4" s="3132" t="s">
        <v>558</v>
      </c>
      <c r="H4" s="2516" t="s">
        <v>559</v>
      </c>
      <c r="I4" s="3191" t="e">
        <f>ROUND(SUMIF('数据-基础表'!I9:AS9,"地上",'数据-基础表'!I5:AS5)/'数据-基础表'!A3,2)</f>
        <v>#DIV/0!</v>
      </c>
      <c r="J4" s="3123"/>
      <c r="K4" s="3123"/>
      <c r="L4" s="3123"/>
      <c r="M4" s="3123"/>
      <c r="N4" s="1491"/>
      <c r="O4" s="3123"/>
      <c r="P4" s="3123"/>
    </row>
    <row r="5" spans="1:16">
      <c r="A5" s="3133" t="s">
        <v>560</v>
      </c>
      <c r="B5" s="1376" t="s">
        <v>561</v>
      </c>
      <c r="C5" s="1376"/>
      <c r="D5" s="3134" t="e">
        <f>ROUND($D$3*E5/$E$3,2)</f>
        <v>#DIV/0!</v>
      </c>
      <c r="E5" s="3135">
        <f>SUMIF('数据-基础表'!$11:$11,"住宅",'数据-基础表'!$5:$5)</f>
        <v>0</v>
      </c>
      <c r="F5" s="3123"/>
      <c r="G5" s="3128"/>
      <c r="H5" s="2516" t="s">
        <v>557</v>
      </c>
      <c r="I5" s="3191" t="e">
        <f>ROUND(E31/D31,2)</f>
        <v>#DIV/0!</v>
      </c>
      <c r="J5" s="3123"/>
      <c r="K5" s="3123"/>
      <c r="L5" s="3123"/>
      <c r="M5" s="3123"/>
      <c r="N5" s="3123"/>
      <c r="O5" s="3123"/>
      <c r="P5" s="3123"/>
    </row>
    <row r="6" ht="14.75" spans="1:16">
      <c r="A6" s="3136"/>
      <c r="B6" s="1376" t="s">
        <v>562</v>
      </c>
      <c r="C6" s="1376"/>
      <c r="D6" s="3134" t="e">
        <f>ROUND($D$3*E6/$E$3,2)</f>
        <v>#DIV/0!</v>
      </c>
      <c r="E6" s="3135">
        <f>E3-E5</f>
        <v>0</v>
      </c>
      <c r="F6" s="3123"/>
      <c r="G6" s="3137" t="s">
        <v>563</v>
      </c>
      <c r="H6" s="3138" t="s">
        <v>559</v>
      </c>
      <c r="I6" s="3192" t="e">
        <f>ROUND(F31/D31,2)</f>
        <v>#DIV/0!</v>
      </c>
      <c r="J6" s="3123"/>
      <c r="K6" s="3123"/>
      <c r="L6" s="3123"/>
      <c r="M6" s="3123"/>
      <c r="N6" s="3123"/>
      <c r="O6" s="3123"/>
      <c r="P6" s="3123"/>
    </row>
    <row r="7" ht="14.75" spans="1:16">
      <c r="A7" s="3139"/>
      <c r="B7" s="3140"/>
      <c r="C7" s="3141"/>
      <c r="D7" s="3130" t="s">
        <v>553</v>
      </c>
      <c r="E7" s="3142" t="s">
        <v>564</v>
      </c>
      <c r="F7" s="3123"/>
      <c r="G7" s="3143" t="s">
        <v>565</v>
      </c>
      <c r="H7" s="3144"/>
      <c r="I7" s="3193"/>
      <c r="J7" s="3123"/>
      <c r="K7" s="3123"/>
      <c r="L7" s="3123"/>
      <c r="M7" s="3123"/>
      <c r="N7" s="3123"/>
      <c r="O7" s="3123"/>
      <c r="P7" s="3123"/>
    </row>
    <row r="8" spans="1:16">
      <c r="A8" s="3133" t="s">
        <v>566</v>
      </c>
      <c r="B8" s="3145" t="s">
        <v>567</v>
      </c>
      <c r="C8" s="3134" t="s">
        <v>568</v>
      </c>
      <c r="D8" s="3134" t="e">
        <f t="shared" ref="D8:D15" si="0">ROUND($D$3*E8/$E$3,2)</f>
        <v>#DIV/0!</v>
      </c>
      <c r="E8" s="3146">
        <f>SUMIF('数据-基础表'!BB10:BK10,"地上",'数据-基础表'!BB5:BK5)</f>
        <v>0</v>
      </c>
      <c r="F8" s="3123"/>
      <c r="G8" s="3147"/>
      <c r="H8" s="3147"/>
      <c r="I8" s="3123"/>
      <c r="J8" s="3123"/>
      <c r="K8" s="3123"/>
      <c r="L8" s="3123"/>
      <c r="M8" s="3123"/>
      <c r="N8" s="3123"/>
      <c r="O8" s="3123"/>
      <c r="P8" s="3123"/>
    </row>
    <row r="9" spans="1:16">
      <c r="A9" s="3148"/>
      <c r="B9" s="3149"/>
      <c r="C9" s="3134" t="s">
        <v>569</v>
      </c>
      <c r="D9" s="3134" t="e">
        <f t="shared" si="0"/>
        <v>#DIV/0!</v>
      </c>
      <c r="E9" s="3150">
        <v>0</v>
      </c>
      <c r="F9" s="3123"/>
      <c r="G9" s="3147"/>
      <c r="H9" s="3147"/>
      <c r="I9" s="3123"/>
      <c r="J9" s="3123"/>
      <c r="K9" s="3123"/>
      <c r="L9" s="3123"/>
      <c r="M9" s="3123"/>
      <c r="N9" s="3123"/>
      <c r="O9" s="3123"/>
      <c r="P9" s="3123"/>
    </row>
    <row r="10" spans="1:16">
      <c r="A10" s="3148"/>
      <c r="B10" s="3149"/>
      <c r="C10" s="3134" t="s">
        <v>570</v>
      </c>
      <c r="D10" s="3134" t="e">
        <f t="shared" si="0"/>
        <v>#DIV/0!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571</v>
      </c>
      <c r="D11" s="3134" t="e">
        <f t="shared" si="0"/>
        <v>#DIV/0!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572</v>
      </c>
      <c r="D12" s="3134" t="e">
        <f t="shared" si="0"/>
        <v>#DIV/0!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573</v>
      </c>
      <c r="D13" s="3134" t="e">
        <f t="shared" si="0"/>
        <v>#DIV/0!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574</v>
      </c>
      <c r="D14" s="3134" t="e">
        <f t="shared" si="0"/>
        <v>#DIV/0!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575</v>
      </c>
      <c r="D15" s="3134" t="e">
        <f t="shared" si="0"/>
        <v>#DIV/0!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4.75" spans="1:16">
      <c r="A16" s="3136"/>
      <c r="B16" s="3149"/>
      <c r="C16" s="3145" t="s">
        <v>576</v>
      </c>
      <c r="D16" s="3145" t="e">
        <f>SUM(D8:D15)</f>
        <v>#DIV/0!</v>
      </c>
      <c r="E16" s="3151">
        <f>SUM(E8:E15)</f>
        <v>0</v>
      </c>
      <c r="F16" s="3123"/>
      <c r="G16" s="3147"/>
      <c r="H16" s="3152" t="s">
        <v>577</v>
      </c>
      <c r="I16" s="3194"/>
      <c r="J16" s="2568"/>
      <c r="K16" s="3195" t="s">
        <v>577</v>
      </c>
      <c r="L16" s="3154"/>
      <c r="M16" s="3154"/>
      <c r="N16" s="3154"/>
      <c r="O16" s="3154"/>
      <c r="P16" s="3196"/>
    </row>
    <row r="17" spans="1:19">
      <c r="A17" s="3082" t="s">
        <v>578</v>
      </c>
      <c r="B17" s="3153" t="s">
        <v>579</v>
      </c>
      <c r="C17" s="3081" t="s">
        <v>580</v>
      </c>
      <c r="D17" s="3154" t="s">
        <v>553</v>
      </c>
      <c r="E17" s="3155" t="s">
        <v>554</v>
      </c>
      <c r="F17" s="3156"/>
      <c r="G17" s="3157"/>
      <c r="H17" s="3158" t="s">
        <v>581</v>
      </c>
      <c r="I17" s="3197" t="s">
        <v>582</v>
      </c>
      <c r="J17" s="2568"/>
      <c r="K17" s="3198" t="s">
        <v>583</v>
      </c>
      <c r="L17" s="3199"/>
      <c r="M17" s="3200"/>
      <c r="N17" s="3198" t="s">
        <v>584</v>
      </c>
      <c r="O17" s="3199"/>
      <c r="P17" s="3200"/>
      <c r="R17" s="3213" t="s">
        <v>585</v>
      </c>
      <c r="S17" s="2503"/>
    </row>
    <row r="18" spans="1:19">
      <c r="A18" s="3148"/>
      <c r="B18" s="3159"/>
      <c r="C18" s="3160"/>
      <c r="D18" s="3161"/>
      <c r="E18" s="3162" t="s">
        <v>586</v>
      </c>
      <c r="F18" s="3163" t="s">
        <v>559</v>
      </c>
      <c r="G18" s="3164" t="s">
        <v>587</v>
      </c>
      <c r="H18" s="3087" t="s">
        <v>588</v>
      </c>
      <c r="I18" s="3201" t="s">
        <v>589</v>
      </c>
      <c r="J18" s="2568"/>
      <c r="K18" s="3087" t="s">
        <v>590</v>
      </c>
      <c r="L18" s="2765" t="s">
        <v>591</v>
      </c>
      <c r="M18" s="3191" t="s">
        <v>592</v>
      </c>
      <c r="N18" s="3087" t="s">
        <v>590</v>
      </c>
      <c r="O18" s="2765" t="s">
        <v>591</v>
      </c>
      <c r="P18" s="3191" t="s">
        <v>592</v>
      </c>
      <c r="R18" s="2516" t="s">
        <v>588</v>
      </c>
      <c r="S18" s="2516" t="s">
        <v>589</v>
      </c>
    </row>
    <row r="19" spans="1:19">
      <c r="A19" s="3165"/>
      <c r="B19" s="3145" t="s">
        <v>593</v>
      </c>
      <c r="C19" s="3166"/>
      <c r="D19" s="3134" t="e">
        <f>ROUND($D$3*E19/$E$3,2)</f>
        <v>#DIV/0!</v>
      </c>
      <c r="E19" s="3167">
        <f t="shared" ref="E19:E26" si="1">SUM(F19:G19)</f>
        <v>0</v>
      </c>
      <c r="F19" s="3168"/>
      <c r="G19" s="3169"/>
      <c r="H19" s="3071" t="e">
        <f>ROUND($D$3*I19/$E$3,2)</f>
        <v>#DIV/0!</v>
      </c>
      <c r="I19" s="3146" t="e">
        <f t="shared" ref="I19:I26" si="2">IF($I$17="自定义",P19,M19)</f>
        <v>#DIV/0!</v>
      </c>
      <c r="J19" s="2568"/>
      <c r="K19" s="3202" t="e">
        <f t="shared" ref="K19:K26" si="3">ROUND(E$28*E19/E$27,2)</f>
        <v>#DIV/0!</v>
      </c>
      <c r="L19" s="2516">
        <f t="shared" ref="L19:L26" si="4">ROUND(IF(COUNTIF(C19,"*住宅*")&gt;0,E$29*E19/E$32,0),2)</f>
        <v>0</v>
      </c>
      <c r="M19" s="3203" t="e">
        <f>K19+L19</f>
        <v>#DIV/0!</v>
      </c>
      <c r="N19" s="3204"/>
      <c r="O19" s="3205"/>
      <c r="P19" s="3203">
        <f>N19+O19</f>
        <v>0</v>
      </c>
      <c r="R19" s="2516" t="e">
        <f t="shared" ref="R19:S26" si="5">D19+H19</f>
        <v>#DIV/0!</v>
      </c>
      <c r="S19" s="3214" t="e">
        <f t="shared" si="5"/>
        <v>#DIV/0!</v>
      </c>
    </row>
    <row r="20" spans="1:19">
      <c r="A20" s="3170"/>
      <c r="B20" s="3145" t="s">
        <v>593</v>
      </c>
      <c r="C20" s="3166"/>
      <c r="D20" s="3134" t="e">
        <f t="shared" ref="D20:D26" si="6">ROUND($D$3*E20/$E$3,2)</f>
        <v>#DIV/0!</v>
      </c>
      <c r="E20" s="3167">
        <f t="shared" si="1"/>
        <v>0</v>
      </c>
      <c r="F20" s="3168"/>
      <c r="G20" s="3169"/>
      <c r="H20" s="3071" t="e">
        <f t="shared" ref="H20:H26" si="7">ROUND($D$3*I20/$E$3,2)</f>
        <v>#DIV/0!</v>
      </c>
      <c r="I20" s="3146" t="e">
        <f t="shared" si="2"/>
        <v>#DIV/0!</v>
      </c>
      <c r="J20" s="2568"/>
      <c r="K20" s="3202" t="e">
        <f t="shared" si="3"/>
        <v>#DIV/0!</v>
      </c>
      <c r="L20" s="2516">
        <f t="shared" si="4"/>
        <v>0</v>
      </c>
      <c r="M20" s="3203" t="e">
        <f t="shared" ref="M20:M26" si="8">K20+L20</f>
        <v>#DIV/0!</v>
      </c>
      <c r="N20" s="3204"/>
      <c r="O20" s="3205"/>
      <c r="P20" s="3203">
        <f t="shared" ref="P20:P26" si="9">N20+O20</f>
        <v>0</v>
      </c>
      <c r="R20" s="2516" t="e">
        <f t="shared" si="5"/>
        <v>#DIV/0!</v>
      </c>
      <c r="S20" s="3214" t="e">
        <f t="shared" si="5"/>
        <v>#DIV/0!</v>
      </c>
    </row>
    <row r="21" spans="1:19">
      <c r="A21" s="3170"/>
      <c r="B21" s="3145" t="s">
        <v>593</v>
      </c>
      <c r="C21" s="3166"/>
      <c r="D21" s="3134" t="e">
        <f t="shared" si="6"/>
        <v>#DIV/0!</v>
      </c>
      <c r="E21" s="3167">
        <f t="shared" si="1"/>
        <v>0</v>
      </c>
      <c r="F21" s="3168"/>
      <c r="G21" s="3169"/>
      <c r="H21" s="3071" t="e">
        <f t="shared" si="7"/>
        <v>#DIV/0!</v>
      </c>
      <c r="I21" s="3146" t="e">
        <f t="shared" si="2"/>
        <v>#DIV/0!</v>
      </c>
      <c r="J21" s="2568"/>
      <c r="K21" s="3202" t="e">
        <f t="shared" si="3"/>
        <v>#DIV/0!</v>
      </c>
      <c r="L21" s="2516">
        <f t="shared" si="4"/>
        <v>0</v>
      </c>
      <c r="M21" s="3203" t="e">
        <f t="shared" si="8"/>
        <v>#DIV/0!</v>
      </c>
      <c r="N21" s="3204"/>
      <c r="O21" s="3205"/>
      <c r="P21" s="3203">
        <f t="shared" si="9"/>
        <v>0</v>
      </c>
      <c r="R21" s="2516" t="e">
        <f t="shared" si="5"/>
        <v>#DIV/0!</v>
      </c>
      <c r="S21" s="3214" t="e">
        <f t="shared" si="5"/>
        <v>#DIV/0!</v>
      </c>
    </row>
    <row r="22" spans="1:19">
      <c r="A22" s="3170"/>
      <c r="B22" s="3145" t="s">
        <v>593</v>
      </c>
      <c r="C22" s="3171"/>
      <c r="D22" s="3134" t="e">
        <f t="shared" si="6"/>
        <v>#DIV/0!</v>
      </c>
      <c r="E22" s="3167">
        <f t="shared" si="1"/>
        <v>0</v>
      </c>
      <c r="F22" s="3172"/>
      <c r="G22" s="3173"/>
      <c r="H22" s="3071" t="e">
        <f t="shared" si="7"/>
        <v>#DIV/0!</v>
      </c>
      <c r="I22" s="3146" t="e">
        <f t="shared" si="2"/>
        <v>#DIV/0!</v>
      </c>
      <c r="J22" s="2568"/>
      <c r="K22" s="3202" t="e">
        <f t="shared" si="3"/>
        <v>#DIV/0!</v>
      </c>
      <c r="L22" s="2516">
        <f t="shared" si="4"/>
        <v>0</v>
      </c>
      <c r="M22" s="3203" t="e">
        <f t="shared" si="8"/>
        <v>#DIV/0!</v>
      </c>
      <c r="N22" s="3204"/>
      <c r="O22" s="3205"/>
      <c r="P22" s="3203">
        <f t="shared" si="9"/>
        <v>0</v>
      </c>
      <c r="R22" s="2516" t="e">
        <f t="shared" si="5"/>
        <v>#DIV/0!</v>
      </c>
      <c r="S22" s="3214" t="e">
        <f t="shared" si="5"/>
        <v>#DIV/0!</v>
      </c>
    </row>
    <row r="23" spans="1:19">
      <c r="A23" s="3170"/>
      <c r="B23" s="3145" t="s">
        <v>593</v>
      </c>
      <c r="C23" s="3171"/>
      <c r="D23" s="3134" t="e">
        <f t="shared" si="6"/>
        <v>#DIV/0!</v>
      </c>
      <c r="E23" s="3167">
        <f t="shared" si="1"/>
        <v>0</v>
      </c>
      <c r="F23" s="3172"/>
      <c r="G23" s="3173"/>
      <c r="H23" s="3071" t="e">
        <f t="shared" si="7"/>
        <v>#DIV/0!</v>
      </c>
      <c r="I23" s="3146" t="e">
        <f t="shared" si="2"/>
        <v>#DIV/0!</v>
      </c>
      <c r="J23" s="2568"/>
      <c r="K23" s="3202" t="e">
        <f t="shared" si="3"/>
        <v>#DIV/0!</v>
      </c>
      <c r="L23" s="2516">
        <f t="shared" si="4"/>
        <v>0</v>
      </c>
      <c r="M23" s="3203" t="e">
        <f t="shared" si="8"/>
        <v>#DIV/0!</v>
      </c>
      <c r="N23" s="3204"/>
      <c r="O23" s="3205"/>
      <c r="P23" s="3203">
        <f t="shared" si="9"/>
        <v>0</v>
      </c>
      <c r="R23" s="2516" t="e">
        <f t="shared" si="5"/>
        <v>#DIV/0!</v>
      </c>
      <c r="S23" s="3214" t="e">
        <f t="shared" si="5"/>
        <v>#DIV/0!</v>
      </c>
    </row>
    <row r="24" spans="1:19">
      <c r="A24" s="3170"/>
      <c r="B24" s="3145" t="s">
        <v>593</v>
      </c>
      <c r="C24" s="3171"/>
      <c r="D24" s="3134" t="e">
        <f t="shared" si="6"/>
        <v>#DIV/0!</v>
      </c>
      <c r="E24" s="3167">
        <f t="shared" si="1"/>
        <v>0</v>
      </c>
      <c r="F24" s="3172"/>
      <c r="G24" s="3173"/>
      <c r="H24" s="3071" t="e">
        <f t="shared" si="7"/>
        <v>#DIV/0!</v>
      </c>
      <c r="I24" s="3146" t="e">
        <f t="shared" si="2"/>
        <v>#DIV/0!</v>
      </c>
      <c r="J24" s="2568"/>
      <c r="K24" s="3202" t="e">
        <f t="shared" si="3"/>
        <v>#DIV/0!</v>
      </c>
      <c r="L24" s="2516">
        <f t="shared" si="4"/>
        <v>0</v>
      </c>
      <c r="M24" s="3203" t="e">
        <f t="shared" si="8"/>
        <v>#DIV/0!</v>
      </c>
      <c r="N24" s="3204"/>
      <c r="O24" s="3205"/>
      <c r="P24" s="3203">
        <f t="shared" si="9"/>
        <v>0</v>
      </c>
      <c r="R24" s="2516" t="e">
        <f t="shared" si="5"/>
        <v>#DIV/0!</v>
      </c>
      <c r="S24" s="3214" t="e">
        <f t="shared" si="5"/>
        <v>#DIV/0!</v>
      </c>
    </row>
    <row r="25" spans="1:19">
      <c r="A25" s="3170"/>
      <c r="B25" s="3145" t="s">
        <v>593</v>
      </c>
      <c r="C25" s="3171"/>
      <c r="D25" s="3134" t="e">
        <f t="shared" si="6"/>
        <v>#DIV/0!</v>
      </c>
      <c r="E25" s="3167">
        <f t="shared" si="1"/>
        <v>0</v>
      </c>
      <c r="F25" s="3172"/>
      <c r="G25" s="3173"/>
      <c r="H25" s="3133" t="e">
        <f t="shared" si="7"/>
        <v>#DIV/0!</v>
      </c>
      <c r="I25" s="3146" t="e">
        <f t="shared" si="2"/>
        <v>#DIV/0!</v>
      </c>
      <c r="J25" s="2568"/>
      <c r="K25" s="3202" t="e">
        <f t="shared" si="3"/>
        <v>#DIV/0!</v>
      </c>
      <c r="L25" s="2516">
        <f t="shared" si="4"/>
        <v>0</v>
      </c>
      <c r="M25" s="3203" t="e">
        <f t="shared" si="8"/>
        <v>#DIV/0!</v>
      </c>
      <c r="N25" s="3204"/>
      <c r="O25" s="3205"/>
      <c r="P25" s="3203">
        <f t="shared" si="9"/>
        <v>0</v>
      </c>
      <c r="R25" s="2516" t="e">
        <f t="shared" si="5"/>
        <v>#DIV/0!</v>
      </c>
      <c r="S25" s="3214" t="e">
        <f t="shared" si="5"/>
        <v>#DIV/0!</v>
      </c>
    </row>
    <row r="26" spans="1:19">
      <c r="A26" s="3170"/>
      <c r="B26" s="3145" t="s">
        <v>593</v>
      </c>
      <c r="C26" s="3174"/>
      <c r="D26" s="3134" t="e">
        <f t="shared" si="6"/>
        <v>#DIV/0!</v>
      </c>
      <c r="E26" s="3167">
        <f t="shared" si="1"/>
        <v>0</v>
      </c>
      <c r="F26" s="3172"/>
      <c r="G26" s="3173"/>
      <c r="H26" s="3133" t="e">
        <f t="shared" si="7"/>
        <v>#DIV/0!</v>
      </c>
      <c r="I26" s="3146" t="e">
        <f t="shared" si="2"/>
        <v>#DIV/0!</v>
      </c>
      <c r="J26" s="2568"/>
      <c r="K26" s="3128" t="e">
        <f t="shared" si="3"/>
        <v>#DIV/0!</v>
      </c>
      <c r="L26" s="3138">
        <f t="shared" si="4"/>
        <v>0</v>
      </c>
      <c r="M26" s="3181" t="e">
        <f t="shared" si="8"/>
        <v>#DIV/0!</v>
      </c>
      <c r="N26" s="3206"/>
      <c r="O26" s="3207"/>
      <c r="P26" s="3181">
        <f t="shared" si="9"/>
        <v>0</v>
      </c>
      <c r="R26" s="2516" t="e">
        <f t="shared" si="5"/>
        <v>#DIV/0!</v>
      </c>
      <c r="S26" s="3214" t="e">
        <f t="shared" si="5"/>
        <v>#DIV/0!</v>
      </c>
    </row>
    <row r="27" ht="14.75" spans="1:19">
      <c r="A27" s="3170"/>
      <c r="B27" s="3134"/>
      <c r="C27" s="2751" t="s">
        <v>594</v>
      </c>
      <c r="D27" s="3175" t="e">
        <f>SUM(D19:D26)</f>
        <v>#DIV/0!</v>
      </c>
      <c r="E27" s="3176">
        <f>IF(SUM(E19:E26)='数据-基础表'!BA5,SUM(E19:E26),IF(F27="地上面积有误","面积有误","地下面积有误"))</f>
        <v>0</v>
      </c>
      <c r="F27" s="3175">
        <f>IF(SUM(F19:F26)=E8,SUM(F19:F26),"地上面积有误")</f>
        <v>0</v>
      </c>
      <c r="G27" s="3177">
        <f>SUM(G19:G26)</f>
        <v>0</v>
      </c>
      <c r="H27" s="3178" t="e">
        <f>SUM(H19:H26)</f>
        <v>#DIV/0!</v>
      </c>
      <c r="I27" s="3208" t="e">
        <f>SUM(I19:I26)</f>
        <v>#DIV/0!</v>
      </c>
      <c r="J27" s="2568"/>
      <c r="K27" s="3209" t="e">
        <f>SUM(K19:K26)</f>
        <v>#DIV/0!</v>
      </c>
      <c r="L27" s="3210">
        <f>SUM(L19:L26)</f>
        <v>0</v>
      </c>
      <c r="M27" s="3211" t="e">
        <f>SUM(M19:M26)</f>
        <v>#DIV/0!</v>
      </c>
      <c r="N27" s="3209">
        <f t="shared" ref="N27:P27" si="10">SUM(N19:N26)</f>
        <v>0</v>
      </c>
      <c r="O27" s="3210">
        <f t="shared" si="10"/>
        <v>0</v>
      </c>
      <c r="P27" s="3212">
        <f t="shared" si="10"/>
        <v>0</v>
      </c>
      <c r="R27" s="3114" t="e">
        <f>IF(SUM(R19:R26)=$D$3,SUM(R19:R26),SUM(R19:R26)&amp;"误差"&amp;ROUND(SUM(R19:R26)-$D$3,2))</f>
        <v>#DIV/0!</v>
      </c>
      <c r="S27" s="2516" t="e">
        <f>IF(SUM(S19:S26)=$E$3,SUM(S19:S26),SUM(S19:S26)&amp;"误差"&amp;ROUND(SUM(S19:S26)-E3,2))</f>
        <v>#DIV/0!</v>
      </c>
    </row>
    <row r="28" spans="1:16">
      <c r="A28" s="3170"/>
      <c r="B28" s="3145" t="s">
        <v>595</v>
      </c>
      <c r="C28" s="3090" t="s">
        <v>596</v>
      </c>
      <c r="D28" s="3134" t="e">
        <f>ROUND($D$3*E28/$E$3,2)</f>
        <v>#DIV/0!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595</v>
      </c>
      <c r="C29" s="2566" t="s">
        <v>597</v>
      </c>
      <c r="D29" s="3134" t="e">
        <f>ROUND($D$3*E29/$E$3,2)</f>
        <v>#DIV/0!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594</v>
      </c>
      <c r="D30" s="3175" t="e">
        <f>SUM(D28:D29)</f>
        <v>#DIV/0!</v>
      </c>
      <c r="E30" s="3175">
        <f>SUM(E28:E29)</f>
        <v>0</v>
      </c>
      <c r="F30" s="3175">
        <f>SUM(F28:F29)</f>
        <v>0</v>
      </c>
      <c r="G30" s="3177">
        <f>SUM(G28:G29)</f>
        <v>0</v>
      </c>
      <c r="H30" s="3123"/>
      <c r="I30" s="3123"/>
      <c r="J30" s="3123"/>
      <c r="K30" s="3123"/>
      <c r="L30" s="3123"/>
      <c r="M30" s="3123"/>
      <c r="N30" s="3123"/>
      <c r="O30" s="3123"/>
      <c r="P30" s="3123"/>
    </row>
    <row r="31" ht="14.75" spans="1:16">
      <c r="A31" s="3183"/>
      <c r="B31" s="3184"/>
      <c r="C31" s="2440" t="s">
        <v>598</v>
      </c>
      <c r="D31" s="3185" t="e">
        <f>D27+D30</f>
        <v>#DIV/0!</v>
      </c>
      <c r="E31" s="3185">
        <f>E27+E30</f>
        <v>0</v>
      </c>
      <c r="F31" s="3186">
        <f>F27+F30</f>
        <v>0</v>
      </c>
      <c r="G31" s="3187">
        <f>G27+G30</f>
        <v>0</v>
      </c>
      <c r="H31" s="3123"/>
      <c r="I31" s="3123"/>
      <c r="J31" s="3123"/>
      <c r="K31" s="3123"/>
      <c r="L31" s="3123"/>
      <c r="M31" s="3123"/>
      <c r="N31" s="3123"/>
      <c r="O31" s="3123"/>
      <c r="P31" s="3123"/>
    </row>
    <row r="32" spans="1:16">
      <c r="A32" s="3188"/>
      <c r="B32" s="3188" t="s">
        <v>599</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31" sqref="L31"/>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600</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601</v>
      </c>
      <c r="B2" s="2931">
        <f>项目基本情况!D3</f>
        <v>0</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602</v>
      </c>
      <c r="B4" s="2523"/>
      <c r="C4" s="2936"/>
      <c r="D4" s="2937"/>
      <c r="E4" s="2936" t="s">
        <v>603</v>
      </c>
      <c r="F4" s="2936"/>
      <c r="G4" s="2936"/>
      <c r="H4" s="2936"/>
      <c r="I4" s="2936"/>
      <c r="J4" s="3030"/>
      <c r="K4" s="3031"/>
      <c r="L4" s="3032"/>
      <c r="M4" s="2936"/>
      <c r="N4" s="2936" t="s">
        <v>604</v>
      </c>
      <c r="O4" s="2936"/>
      <c r="P4" s="2936"/>
      <c r="Q4" s="2936"/>
      <c r="R4" s="2936"/>
      <c r="S4" s="3030"/>
      <c r="T4" s="3054" t="str">
        <f>'数据-汇总表'!I17</f>
        <v>按面积比例</v>
      </c>
      <c r="U4" s="2523" t="s">
        <v>605</v>
      </c>
      <c r="V4" s="2936"/>
      <c r="W4" s="2936"/>
      <c r="X4" s="2936"/>
      <c r="Y4" s="3030"/>
      <c r="Z4" s="3081" t="s">
        <v>606</v>
      </c>
      <c r="AA4" s="3081"/>
      <c r="AB4" s="3081"/>
      <c r="AC4" s="3081"/>
      <c r="AD4" s="3081"/>
      <c r="AE4" s="3082" t="s">
        <v>607</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580</v>
      </c>
      <c r="B5" s="2939" t="s">
        <v>579</v>
      </c>
      <c r="C5" s="2940" t="s">
        <v>608</v>
      </c>
      <c r="D5" s="2941" t="s">
        <v>609</v>
      </c>
      <c r="E5" s="2942" t="s">
        <v>610</v>
      </c>
      <c r="F5" s="2943" t="s">
        <v>611</v>
      </c>
      <c r="G5" s="2942" t="s">
        <v>612</v>
      </c>
      <c r="H5" s="2942" t="s">
        <v>613</v>
      </c>
      <c r="I5" s="2942" t="s">
        <v>614</v>
      </c>
      <c r="J5" s="3033" t="s">
        <v>615</v>
      </c>
      <c r="K5" s="3034" t="s">
        <v>589</v>
      </c>
      <c r="L5" s="3035" t="s">
        <v>616</v>
      </c>
      <c r="M5" s="3036" t="s">
        <v>617</v>
      </c>
      <c r="N5" s="3037"/>
      <c r="O5" s="3035" t="s">
        <v>618</v>
      </c>
      <c r="P5" s="3038" t="s">
        <v>619</v>
      </c>
      <c r="Q5" s="1502" t="s">
        <v>620</v>
      </c>
      <c r="R5" s="3055" t="s">
        <v>621</v>
      </c>
      <c r="S5" s="3056" t="s">
        <v>622</v>
      </c>
      <c r="T5" s="3057" t="s">
        <v>623</v>
      </c>
      <c r="U5" s="3058" t="s">
        <v>624</v>
      </c>
      <c r="V5" s="2942" t="s">
        <v>625</v>
      </c>
      <c r="W5" s="2942" t="s">
        <v>626</v>
      </c>
      <c r="X5" s="1160"/>
      <c r="Y5" s="1633" t="s">
        <v>627</v>
      </c>
      <c r="Z5" s="3083" t="s">
        <v>624</v>
      </c>
      <c r="AA5" s="2942" t="s">
        <v>625</v>
      </c>
      <c r="AB5" s="2942" t="s">
        <v>626</v>
      </c>
      <c r="AC5" s="1160"/>
      <c r="AD5" s="1160" t="s">
        <v>627</v>
      </c>
      <c r="AE5" s="3058" t="s">
        <v>628</v>
      </c>
      <c r="AF5" s="2942" t="s">
        <v>629</v>
      </c>
      <c r="AG5" s="1633" t="s">
        <v>630</v>
      </c>
      <c r="AH5" s="3058" t="s">
        <v>631</v>
      </c>
      <c r="AI5" s="3083" t="s">
        <v>632</v>
      </c>
      <c r="AJ5" s="3083" t="s">
        <v>633</v>
      </c>
      <c r="AK5" s="2942" t="s">
        <v>634</v>
      </c>
      <c r="AL5" s="2942" t="s">
        <v>635</v>
      </c>
      <c r="AM5" s="1633" t="s">
        <v>636</v>
      </c>
      <c r="AN5" s="3095" t="s">
        <v>637</v>
      </c>
      <c r="AO5" s="3113" t="s">
        <v>638</v>
      </c>
      <c r="AP5" s="3114" t="s">
        <v>639</v>
      </c>
      <c r="AQ5" s="3115" t="s">
        <v>640</v>
      </c>
      <c r="AR5" s="3115" t="s">
        <v>641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f>'数据-汇总表'!C19</f>
        <v>0</v>
      </c>
      <c r="B6" s="2945" t="str">
        <f>IF(A6=0,"","经营性")</f>
        <v/>
      </c>
      <c r="C6" s="2946"/>
      <c r="D6" s="2947">
        <f>SUMIF(项目基本情况!C$12:I$12,C6,项目基本情况!C$14:I$14)</f>
        <v>0</v>
      </c>
      <c r="E6" s="2948" t="str">
        <f>IF(B6="","",SUMIF(项目基本情况!C$12:I$12,C6,项目基本情况!C$13:I$13))</f>
        <v/>
      </c>
      <c r="F6" s="2949">
        <f>SUMIF(项目基本情况!C$12:I$12,C6,项目基本情况!C$15:I$15)</f>
        <v>0</v>
      </c>
      <c r="G6" s="2950">
        <f>IF(ISERROR(ROUND(POWER(1+H6,D6-F6)*(POWER(1+H6,F6)-1)/(POWER(1+H6,D6)-1),3)),0,ROUND(POWER(1+H6,D6-F6)*(POWER(1+H6,F6)-1)/(POWER(1+H6,D6)-1),3))</f>
        <v>0</v>
      </c>
      <c r="H6" s="2951"/>
      <c r="I6" s="2951"/>
      <c r="J6" s="2952"/>
      <c r="K6" s="3039">
        <f>SUMIF('数据-汇总表'!C$19:C$33,A6,'数据-汇总表'!E$19:E$33)</f>
        <v>0</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596</v>
      </c>
      <c r="B14" s="2945" t="s">
        <v>595</v>
      </c>
      <c r="C14" s="2954" t="s">
        <v>596</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597</v>
      </c>
      <c r="B15" s="2945" t="s">
        <v>595</v>
      </c>
      <c r="C15" s="2954" t="s">
        <v>642</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598</v>
      </c>
      <c r="B16" s="2957"/>
      <c r="C16" s="2438"/>
      <c r="D16" s="2958"/>
      <c r="E16" s="2957"/>
      <c r="F16" s="2957"/>
      <c r="G16" s="2959" t="e">
        <f>ROUND(SUMPRODUCT(G6:G13,K6:K13)/SUMPRODUCT((G6:G13&gt;0)*(K6:K13)),3)</f>
        <v>#DIV/0!</v>
      </c>
      <c r="H16" s="2960" t="e">
        <f>ROUND(SUMPRODUCT(H6:H13,K6:K13)/SUMPRODUCT((H6:H13&gt;0)*(K6:K13)),3)</f>
        <v>#DIV/0!</v>
      </c>
      <c r="I16" s="3048"/>
      <c r="J16" s="3048"/>
      <c r="K16" s="3049">
        <f>SUM(K6:K15)</f>
        <v>0</v>
      </c>
      <c r="L16" s="3050" t="e">
        <f>ROUND(M16*10000/SUM(K6:K14),0)</f>
        <v>#DIV/0!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643</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644</v>
      </c>
      <c r="B19" s="2968"/>
      <c r="C19" s="2969" t="s">
        <v>645</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646</v>
      </c>
      <c r="B20" s="2971"/>
      <c r="C20" s="2972" t="s">
        <v>647</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648</v>
      </c>
      <c r="B21" s="2971"/>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649</v>
      </c>
      <c r="B22" s="2974">
        <f>B19+B20</f>
        <v>0</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650</v>
      </c>
      <c r="B23" s="2974">
        <f>B19+B21</f>
        <v>0</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651</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652</v>
      </c>
      <c r="B26" s="2977" t="s">
        <v>653</v>
      </c>
      <c r="C26" s="2978" t="s">
        <v>654</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655</v>
      </c>
      <c r="B27" s="2980"/>
      <c r="C27" s="2981" t="s">
        <v>656</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657</v>
      </c>
      <c r="B28" s="2984"/>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658</v>
      </c>
      <c r="B29" s="2987"/>
      <c r="C29" s="2988" t="s">
        <v>659</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660</v>
      </c>
      <c r="B30" s="2990"/>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661</v>
      </c>
      <c r="B31" s="2991">
        <f>B30-B32</f>
        <v>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662</v>
      </c>
      <c r="B32" s="2994"/>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663</v>
      </c>
      <c r="B33" s="2995"/>
      <c r="C33" s="2996" t="s">
        <v>664</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665</v>
      </c>
      <c r="B34" s="2997"/>
      <c r="C34" s="2996" t="s">
        <v>666</v>
      </c>
      <c r="D34" s="2998" t="s">
        <v>667</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668</v>
      </c>
      <c r="B35" s="2984"/>
      <c r="C35" s="2996" t="s">
        <v>669</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670</v>
      </c>
      <c r="B36" s="2999"/>
      <c r="C36" s="2996" t="s">
        <v>671</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672</v>
      </c>
      <c r="B37" s="3000"/>
      <c r="C37" s="2996" t="s">
        <v>673</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674</v>
      </c>
      <c r="B38" s="2997"/>
      <c r="C38" s="2996" t="s">
        <v>673</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675</v>
      </c>
      <c r="B39" s="3001">
        <f ca="1">存贷款利率!I1</f>
        <v>0</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676</v>
      </c>
      <c r="B40" s="3004">
        <f ca="1">IF(A40="利息：取LPR",存贷款利率!G1,存贷款利率!G1+C40)</f>
        <v>0</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677</v>
      </c>
      <c r="B41" s="3006">
        <f>B42+B43</f>
        <v>0</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678</v>
      </c>
      <c r="B42" s="3008"/>
      <c r="C42" s="3009">
        <f>IF(B2&lt;DATE(2016,5,1),0,B42)</f>
        <v>0</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679</v>
      </c>
      <c r="B43" s="3010">
        <f>B42*(B44+B45+B46)+B47</f>
        <v>0</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680</v>
      </c>
      <c r="B44" s="3012"/>
      <c r="C44" s="2996" t="s">
        <v>681</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682</v>
      </c>
      <c r="B45" s="3008"/>
      <c r="C45" s="2988" t="s">
        <v>683</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684</v>
      </c>
      <c r="B46" s="3008"/>
      <c r="C46" s="2988" t="s">
        <v>685</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686</v>
      </c>
      <c r="B47" s="3014"/>
      <c r="C47" s="3015" t="s">
        <v>687</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688</v>
      </c>
      <c r="B48" s="3017"/>
      <c r="C48" s="2988" t="s">
        <v>683</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689</v>
      </c>
      <c r="B49" s="3008"/>
      <c r="C49" s="2988" t="s">
        <v>690</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691</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692</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693</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694</v>
      </c>
      <c r="B53" s="3022"/>
      <c r="C53" s="1491" t="s">
        <v>695</v>
      </c>
      <c r="D53" s="3023" t="s">
        <v>696</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697</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698</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699</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700</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701</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702</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703</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704</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705</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706</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707</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708</v>
      </c>
      <c r="D2" s="2861"/>
      <c r="E2" s="2858"/>
      <c r="F2" s="2862"/>
      <c r="G2" s="2860" t="s">
        <v>709</v>
      </c>
      <c r="H2" s="2370"/>
      <c r="I2" s="2370"/>
      <c r="J2" s="2370"/>
      <c r="K2" s="2370"/>
      <c r="L2" s="2370"/>
      <c r="M2" s="2370"/>
      <c r="N2" s="2370"/>
      <c r="O2" s="2370"/>
      <c r="P2" s="2370"/>
      <c r="Q2" s="2370"/>
      <c r="R2" s="2370"/>
    </row>
    <row r="3" ht="52" spans="1:18">
      <c r="A3" s="2863" t="s">
        <v>710</v>
      </c>
      <c r="B3" s="2864" t="s">
        <v>711</v>
      </c>
      <c r="C3" s="2865" t="s">
        <v>712</v>
      </c>
      <c r="D3" s="2866"/>
      <c r="E3" s="2867" t="s">
        <v>710</v>
      </c>
      <c r="F3" s="2868" t="s">
        <v>713</v>
      </c>
      <c r="G3" s="2869" t="s">
        <v>714</v>
      </c>
      <c r="H3" s="2370"/>
      <c r="I3" s="2370"/>
      <c r="J3" s="2370"/>
      <c r="K3" s="2370"/>
      <c r="L3" s="2370"/>
      <c r="M3" s="2370"/>
      <c r="N3" s="2370"/>
      <c r="O3" s="2370"/>
      <c r="P3" s="2370"/>
      <c r="Q3" s="2370"/>
      <c r="R3" s="2370"/>
    </row>
    <row r="4" ht="39" spans="1:18">
      <c r="A4" s="2867"/>
      <c r="B4" s="2149" t="s">
        <v>715</v>
      </c>
      <c r="C4" s="2870" t="s">
        <v>716</v>
      </c>
      <c r="D4" s="2866"/>
      <c r="E4" s="2871"/>
      <c r="F4" s="2364" t="s">
        <v>717</v>
      </c>
      <c r="G4" s="2872" t="s">
        <v>718</v>
      </c>
      <c r="H4" s="2370"/>
      <c r="I4" s="2370"/>
      <c r="J4" s="2370"/>
      <c r="K4" s="2370"/>
      <c r="L4" s="2370"/>
      <c r="M4" s="2370"/>
      <c r="N4" s="2370"/>
      <c r="O4" s="2370"/>
      <c r="P4" s="2370"/>
      <c r="Q4" s="2370"/>
      <c r="R4" s="2370"/>
    </row>
    <row r="5" ht="39" spans="1:18">
      <c r="A5" s="2867"/>
      <c r="B5" s="2149" t="s">
        <v>719</v>
      </c>
      <c r="C5" s="2870" t="s">
        <v>720</v>
      </c>
      <c r="D5" s="2866"/>
      <c r="E5" s="2871"/>
      <c r="F5" s="2149" t="s">
        <v>543</v>
      </c>
      <c r="G5" s="2872" t="s">
        <v>721</v>
      </c>
      <c r="H5" s="2370"/>
      <c r="I5" s="2370"/>
      <c r="J5" s="2370"/>
      <c r="K5" s="2370"/>
      <c r="L5" s="2370"/>
      <c r="M5" s="2370"/>
      <c r="N5" s="2370"/>
      <c r="O5" s="2370"/>
      <c r="P5" s="2370"/>
      <c r="Q5" s="2370"/>
      <c r="R5" s="2370"/>
    </row>
    <row r="6" ht="39" spans="1:18">
      <c r="A6" s="2867"/>
      <c r="B6" s="2149" t="s">
        <v>717</v>
      </c>
      <c r="C6" s="2872" t="s">
        <v>718</v>
      </c>
      <c r="D6" s="2866"/>
      <c r="E6" s="2871"/>
      <c r="F6" s="2149" t="s">
        <v>722</v>
      </c>
      <c r="G6" s="2872" t="s">
        <v>723</v>
      </c>
      <c r="H6" s="2370"/>
      <c r="I6" s="2370"/>
      <c r="J6" s="2370"/>
      <c r="K6" s="2370"/>
      <c r="L6" s="2370"/>
      <c r="M6" s="2370"/>
      <c r="N6" s="2370"/>
      <c r="O6" s="2370"/>
      <c r="P6" s="2370"/>
      <c r="Q6" s="2370"/>
      <c r="R6" s="2370"/>
    </row>
    <row r="7" ht="39.75" spans="1:18">
      <c r="A7" s="2867"/>
      <c r="B7" s="2149" t="s">
        <v>543</v>
      </c>
      <c r="C7" s="2872" t="s">
        <v>721</v>
      </c>
      <c r="D7" s="2873"/>
      <c r="E7" s="2874"/>
      <c r="F7" s="2875" t="s">
        <v>724</v>
      </c>
      <c r="G7" s="2876" t="s">
        <v>725</v>
      </c>
      <c r="H7" s="2370"/>
      <c r="I7" s="2370"/>
      <c r="J7" s="2370"/>
      <c r="K7" s="2370"/>
      <c r="L7" s="2370"/>
      <c r="M7" s="2370"/>
      <c r="N7" s="2370"/>
      <c r="O7" s="2370"/>
      <c r="P7" s="2370"/>
      <c r="Q7" s="2370"/>
      <c r="R7" s="2370"/>
    </row>
    <row r="8" ht="26" spans="1:18">
      <c r="A8" s="2867"/>
      <c r="B8" s="2149" t="s">
        <v>722</v>
      </c>
      <c r="C8" s="2872" t="s">
        <v>723</v>
      </c>
      <c r="D8" s="2873"/>
      <c r="E8" s="2873"/>
      <c r="F8" s="2271"/>
      <c r="G8" s="2271"/>
      <c r="H8" s="2370"/>
      <c r="I8" s="2370"/>
      <c r="J8" s="2370"/>
      <c r="K8" s="2370"/>
      <c r="L8" s="2370"/>
      <c r="M8" s="2370"/>
      <c r="N8" s="2370"/>
      <c r="O8" s="2370"/>
      <c r="P8" s="2370"/>
      <c r="Q8" s="2370"/>
      <c r="R8" s="2370"/>
    </row>
    <row r="9" ht="26" spans="1:18">
      <c r="A9" s="2867"/>
      <c r="B9" s="2149" t="s">
        <v>726</v>
      </c>
      <c r="C9" s="2870" t="s">
        <v>727</v>
      </c>
      <c r="D9" s="2866"/>
      <c r="E9" s="2873"/>
      <c r="F9" s="2271"/>
      <c r="G9" s="2271"/>
      <c r="H9" s="2370"/>
      <c r="I9" s="2370"/>
      <c r="J9" s="2370"/>
      <c r="K9" s="2370"/>
      <c r="L9" s="2370"/>
      <c r="M9" s="2370"/>
      <c r="N9" s="2370"/>
      <c r="O9" s="2370"/>
      <c r="P9" s="2370"/>
      <c r="Q9" s="2370"/>
      <c r="R9" s="2370"/>
    </row>
    <row r="10" s="2847" customFormat="1" ht="14.75" spans="1:29">
      <c r="A10" s="2877"/>
      <c r="B10" s="2878" t="s">
        <v>728</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729</v>
      </c>
      <c r="B13" s="2883"/>
      <c r="C13" s="2883"/>
      <c r="D13" s="2881"/>
      <c r="E13" s="2883"/>
      <c r="F13" s="2883"/>
      <c r="G13" s="2883"/>
    </row>
    <row r="14" ht="14.75" spans="1:7">
      <c r="A14" s="2886"/>
      <c r="B14" s="2886"/>
      <c r="C14" s="2887" t="s">
        <v>708</v>
      </c>
      <c r="D14" s="2866"/>
      <c r="E14" s="2888"/>
      <c r="F14" s="2888"/>
      <c r="G14" s="2860" t="s">
        <v>709</v>
      </c>
    </row>
    <row r="15" ht="52" spans="1:7">
      <c r="A15" s="2889" t="s">
        <v>710</v>
      </c>
      <c r="B15" s="2890" t="s">
        <v>711</v>
      </c>
      <c r="C15" s="2891" t="str">
        <f>C3</f>
        <v>估价对象周边居住用地比例、居住小区规模和社区发展完善程度，综合评价居住社区成熟度一般</v>
      </c>
      <c r="D15" s="2866"/>
      <c r="E15" s="2892" t="s">
        <v>710</v>
      </c>
      <c r="F15" s="2890" t="s">
        <v>713</v>
      </c>
      <c r="G15" s="2893" t="str">
        <f>G3</f>
        <v>估价对象位于XX开发区，园区建设成熟度XX，产业集聚程度XX</v>
      </c>
    </row>
    <row r="16" ht="39" spans="1:7">
      <c r="A16" s="2894"/>
      <c r="B16" s="2895" t="s">
        <v>715</v>
      </c>
      <c r="C16" s="2896" t="str">
        <f>C4</f>
        <v>估价对象位于XX商圈，周边商业氛围成熟，人流量大，商业繁华度好</v>
      </c>
      <c r="D16" s="2866"/>
      <c r="E16" s="2897"/>
      <c r="F16" s="2898" t="s">
        <v>717</v>
      </c>
      <c r="G16" s="2899" t="str">
        <f>G4</f>
        <v>估价对象周边道路状况、公共交通通达情况、停车便捷程度，综合评价交通便捷度较好</v>
      </c>
    </row>
    <row r="17" ht="39" spans="1:7">
      <c r="A17" s="2894"/>
      <c r="B17" s="2895" t="s">
        <v>719</v>
      </c>
      <c r="C17" s="2896" t="str">
        <f>C5</f>
        <v>估价对象位于XX商圈，周边办公楼项目较多，入驻率高，办公集聚程度较好</v>
      </c>
      <c r="D17" s="2873"/>
      <c r="E17" s="2897"/>
      <c r="F17" s="2898" t="s">
        <v>730</v>
      </c>
      <c r="G17" s="2900"/>
    </row>
    <row r="18" ht="39" spans="1:7">
      <c r="A18" s="2894"/>
      <c r="B18" s="2898" t="s">
        <v>717</v>
      </c>
      <c r="C18" s="2899" t="str">
        <f>C6</f>
        <v>估价对象周边道路状况、公共交通通达情况、停车便捷程度，综合评价交通便捷度较好</v>
      </c>
      <c r="D18" s="2873"/>
      <c r="E18" s="2897"/>
      <c r="F18" s="2898" t="s">
        <v>724</v>
      </c>
      <c r="G18" s="2899" t="str">
        <f>G7</f>
        <v>该园区内是否有污染型企业，绿化情况，卫生条件，整体环境状况判断</v>
      </c>
    </row>
    <row r="19" ht="26" spans="1:7">
      <c r="A19" s="2894"/>
      <c r="B19" s="2898" t="s">
        <v>730</v>
      </c>
      <c r="C19" s="2900"/>
      <c r="D19" s="2866"/>
      <c r="E19" s="2897"/>
      <c r="F19" s="2149" t="s">
        <v>543</v>
      </c>
      <c r="G19" s="2899" t="str">
        <f>G5</f>
        <v>估价对象所在区域公共配套设施齐备情况</v>
      </c>
    </row>
    <row r="20" ht="26" spans="1:7">
      <c r="A20" s="2894"/>
      <c r="B20" s="2898" t="s">
        <v>731</v>
      </c>
      <c r="C20" s="2896" t="str">
        <f>C9</f>
        <v>区域自然环境：；人文环境；综合评价环境状况一般</v>
      </c>
      <c r="D20" s="2873"/>
      <c r="E20" s="2897"/>
      <c r="F20" s="2149" t="s">
        <v>722</v>
      </c>
      <c r="G20" s="2899" t="str">
        <f>G6</f>
        <v>估价对象所在区域基础设施水平</v>
      </c>
    </row>
    <row r="21" ht="26" spans="1:7">
      <c r="A21" s="2894"/>
      <c r="B21" s="2149" t="s">
        <v>543</v>
      </c>
      <c r="C21" s="2899" t="str">
        <f>C7</f>
        <v>估价对象所在区域公共配套设施齐备情况</v>
      </c>
      <c r="D21" s="2866"/>
      <c r="E21" s="2897"/>
      <c r="F21" s="2898" t="s">
        <v>732</v>
      </c>
      <c r="G21" s="2901"/>
    </row>
    <row r="22" ht="13.5" customHeight="1" spans="1:7">
      <c r="A22" s="2894"/>
      <c r="B22" s="2149" t="s">
        <v>722</v>
      </c>
      <c r="C22" s="2899" t="str">
        <f>C8</f>
        <v>估价对象所在区域基础设施水平</v>
      </c>
      <c r="D22" s="2866"/>
      <c r="E22" s="2897"/>
      <c r="F22" s="2898" t="s">
        <v>728</v>
      </c>
      <c r="G22" s="2900"/>
    </row>
    <row r="23" s="2370" customFormat="1" ht="14.75" spans="1:18">
      <c r="A23" s="2894"/>
      <c r="B23" s="2898" t="s">
        <v>732</v>
      </c>
      <c r="C23" s="2901"/>
      <c r="D23" s="2825"/>
      <c r="E23" s="2902"/>
      <c r="F23" s="2903" t="s">
        <v>494</v>
      </c>
      <c r="G23" s="2904"/>
      <c r="H23" s="2852"/>
      <c r="I23" s="2853"/>
      <c r="J23" s="2852"/>
      <c r="K23" s="2852"/>
      <c r="L23" s="2853"/>
      <c r="M23" s="2852"/>
      <c r="N23" s="2852"/>
      <c r="O23" s="2853"/>
      <c r="P23" s="2852"/>
      <c r="Q23" s="2852"/>
      <c r="R23" s="2854"/>
    </row>
    <row r="24" s="2370" customFormat="1" ht="14.75" spans="1:18">
      <c r="A24" s="2905"/>
      <c r="B24" s="2903" t="s">
        <v>728</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6" sqref="D16"/>
    </sheetView>
  </sheetViews>
  <sheetFormatPr defaultColWidth="9" defaultRowHeight="14"/>
  <cols>
    <col min="1" max="1" width="25" style="2830" customWidth="1"/>
    <col min="2" max="9" width="15.7545454545455" style="2830" customWidth="1"/>
    <col min="10" max="16384" width="9" style="2830"/>
  </cols>
  <sheetData>
    <row r="1" ht="16.5" spans="1:11">
      <c r="A1" s="2831" t="s">
        <v>733</v>
      </c>
      <c r="B1" s="2831">
        <f>SUM(B14:B23)</f>
        <v>73.33</v>
      </c>
      <c r="C1" s="2832"/>
      <c r="D1" s="2832"/>
      <c r="E1" s="2832"/>
      <c r="F1" s="2832"/>
      <c r="G1" s="2833"/>
      <c r="H1" s="2834"/>
      <c r="I1" s="2834"/>
      <c r="J1" s="2834"/>
      <c r="K1" s="2834"/>
    </row>
    <row r="2" ht="16.5" spans="1:11">
      <c r="A2" s="2831" t="s">
        <v>734</v>
      </c>
      <c r="B2" s="2831">
        <f>SUM(C14:C23)</f>
        <v>0</v>
      </c>
      <c r="C2" s="2832"/>
      <c r="D2" s="2832"/>
      <c r="E2" s="2832"/>
      <c r="F2" s="2832"/>
      <c r="G2" s="2833"/>
      <c r="H2" s="2834"/>
      <c r="I2" s="2834"/>
      <c r="J2" s="2834"/>
      <c r="K2" s="2834"/>
    </row>
    <row r="3" ht="16.5" spans="1:11">
      <c r="A3" s="2831" t="s">
        <v>735</v>
      </c>
      <c r="B3" s="2835">
        <f>项目基本情况!D3</f>
        <v>0</v>
      </c>
      <c r="C3" s="2832"/>
      <c r="D3" s="2832"/>
      <c r="E3" s="2832"/>
      <c r="F3" s="2832"/>
      <c r="G3" s="2833"/>
      <c r="H3" s="2834"/>
      <c r="I3" s="2834"/>
      <c r="J3" s="2834"/>
      <c r="K3" s="2834"/>
    </row>
    <row r="4" ht="33" spans="1:11">
      <c r="A4" s="2831" t="s">
        <v>736</v>
      </c>
      <c r="B4" s="2831" t="s">
        <v>737</v>
      </c>
      <c r="C4" s="2831" t="s">
        <v>738</v>
      </c>
      <c r="D4" s="2831" t="s">
        <v>739</v>
      </c>
      <c r="E4" s="2832"/>
      <c r="F4" s="2833"/>
      <c r="G4" s="2833"/>
      <c r="H4" s="2834"/>
      <c r="I4" s="2834"/>
      <c r="J4" s="2834"/>
      <c r="K4" s="2834"/>
    </row>
    <row r="5" ht="16.5" spans="1:11">
      <c r="A5" s="2831" t="s">
        <v>740</v>
      </c>
      <c r="B5" s="2831">
        <f>SUM(D14:D23)</f>
        <v>128</v>
      </c>
      <c r="C5" s="2831">
        <f ca="1">IF(B5=D14,结果表!H102,ROUND(B5*10000/$B$1,0))</f>
        <v>17000</v>
      </c>
      <c r="D5" s="2831" t="e">
        <f>ROUND(B5*10000/$B$2,0)</f>
        <v>#DIV/0!</v>
      </c>
      <c r="E5" s="2832"/>
      <c r="F5" s="2833"/>
      <c r="G5" s="2833"/>
      <c r="H5" s="2834"/>
      <c r="I5" s="2834"/>
      <c r="J5" s="2834"/>
      <c r="K5" s="2834"/>
    </row>
    <row r="6" ht="16.5" spans="1:11">
      <c r="A6" s="2831" t="s">
        <v>741</v>
      </c>
      <c r="B6" s="2831">
        <f>SUM(G14:G23)</f>
        <v>0</v>
      </c>
      <c r="C6" s="2831">
        <f ca="1">IF(B6=G14,结果表!H108,ROUND(B6*10000/$B$1,0))</f>
        <v>17000</v>
      </c>
      <c r="D6" s="2831" t="e">
        <f>ROUND(B6*10000/$B$2,0)</f>
        <v>#DIV/0!</v>
      </c>
      <c r="E6" s="2832"/>
      <c r="F6" s="2833"/>
      <c r="G6" s="2833"/>
      <c r="H6" s="2834"/>
      <c r="I6" s="2834"/>
      <c r="J6" s="2834"/>
      <c r="K6" s="2834"/>
    </row>
    <row r="7" ht="16.5" spans="1:11">
      <c r="A7" s="2831" t="s">
        <v>742</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743</v>
      </c>
      <c r="B9" s="2836"/>
      <c r="C9" s="2832"/>
      <c r="D9" s="2832"/>
      <c r="E9" s="2832"/>
      <c r="F9" s="2833"/>
      <c r="G9" s="2833"/>
      <c r="H9" s="2834"/>
      <c r="I9" s="2834"/>
      <c r="J9" s="2834"/>
      <c r="K9" s="2834"/>
    </row>
    <row r="10" ht="16.5" spans="1:11">
      <c r="A10" s="2831" t="s">
        <v>744</v>
      </c>
      <c r="B10" s="2831">
        <f>IF(E10="",0,ROUND(B1*(E10*365/G10)/10000,0))</f>
        <v>0</v>
      </c>
      <c r="C10" s="2831" t="s">
        <v>745</v>
      </c>
      <c r="D10" s="2831" t="s">
        <v>744</v>
      </c>
      <c r="E10" s="2837"/>
      <c r="F10" s="2838" t="s">
        <v>746</v>
      </c>
      <c r="G10" s="2839"/>
      <c r="H10" s="2834"/>
      <c r="I10" s="2834"/>
      <c r="J10" s="2834"/>
      <c r="K10" s="2834"/>
    </row>
    <row r="11" ht="16.5" spans="1:11">
      <c r="A11" s="2831" t="s">
        <v>747</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748</v>
      </c>
      <c r="B13" s="2841" t="s">
        <v>733</v>
      </c>
      <c r="C13" s="2841" t="s">
        <v>734</v>
      </c>
      <c r="D13" s="2841" t="s">
        <v>749</v>
      </c>
      <c r="E13" s="2831" t="s">
        <v>738</v>
      </c>
      <c r="F13" s="2831" t="s">
        <v>739</v>
      </c>
      <c r="G13" s="2841" t="s">
        <v>750</v>
      </c>
      <c r="H13" s="2841" t="s">
        <v>751</v>
      </c>
      <c r="I13" s="2841" t="s">
        <v>752</v>
      </c>
      <c r="J13" s="2833"/>
      <c r="K13" s="2834"/>
    </row>
    <row r="14" ht="16.5" spans="1:11">
      <c r="A14" s="2842" t="s">
        <v>753</v>
      </c>
      <c r="B14" s="2843">
        <v>73.33</v>
      </c>
      <c r="C14" s="2843"/>
      <c r="D14" s="2843">
        <f>ROUND(E14*B14/10000,0)</f>
        <v>128</v>
      </c>
      <c r="E14" s="2843">
        <v>17500</v>
      </c>
      <c r="F14" s="2843" t="e">
        <f>ROUND(D14*10000/C14,0)</f>
        <v>#DIV/0!</v>
      </c>
      <c r="G14" s="2843"/>
      <c r="H14" s="2843"/>
      <c r="I14" s="2843"/>
      <c r="J14" s="2833"/>
      <c r="K14" s="2834"/>
    </row>
    <row r="15" ht="16.5" spans="1:11">
      <c r="A15" s="2842" t="s">
        <v>754</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755</v>
      </c>
      <c r="B16" s="2844"/>
      <c r="C16" s="2844"/>
      <c r="D16" s="2844"/>
      <c r="E16" s="2843" t="e">
        <f t="shared" si="0"/>
        <v>#DIV/0!</v>
      </c>
      <c r="F16" s="2843" t="e">
        <f t="shared" si="1"/>
        <v>#DIV/0!</v>
      </c>
      <c r="G16" s="2845"/>
      <c r="H16" s="2845"/>
      <c r="I16" s="2844"/>
      <c r="J16" s="2834"/>
      <c r="K16" s="2834"/>
    </row>
    <row r="17" ht="16.5" spans="1:11">
      <c r="A17" s="2842" t="s">
        <v>756</v>
      </c>
      <c r="B17" s="2844"/>
      <c r="C17" s="2844"/>
      <c r="D17" s="2844"/>
      <c r="E17" s="2843" t="e">
        <f t="shared" si="0"/>
        <v>#DIV/0!</v>
      </c>
      <c r="F17" s="2843" t="e">
        <f t="shared" si="1"/>
        <v>#DIV/0!</v>
      </c>
      <c r="G17" s="2845"/>
      <c r="H17" s="2845"/>
      <c r="I17" s="2844"/>
      <c r="J17" s="2834"/>
      <c r="K17" s="2834"/>
    </row>
    <row r="18" ht="16.5" spans="1:11">
      <c r="A18" s="2842" t="s">
        <v>757</v>
      </c>
      <c r="B18" s="2844"/>
      <c r="C18" s="2844"/>
      <c r="D18" s="2844"/>
      <c r="E18" s="2843" t="e">
        <f t="shared" si="0"/>
        <v>#DIV/0!</v>
      </c>
      <c r="F18" s="2843" t="e">
        <f t="shared" si="1"/>
        <v>#DIV/0!</v>
      </c>
      <c r="G18" s="2844"/>
      <c r="H18" s="2844"/>
      <c r="I18" s="2844"/>
      <c r="J18" s="2834"/>
      <c r="K18" s="2834"/>
    </row>
    <row r="19" ht="16.5" spans="1:11">
      <c r="A19" s="2842" t="s">
        <v>758</v>
      </c>
      <c r="B19" s="2844"/>
      <c r="C19" s="2844"/>
      <c r="D19" s="2844"/>
      <c r="E19" s="2843" t="e">
        <f t="shared" si="0"/>
        <v>#DIV/0!</v>
      </c>
      <c r="F19" s="2843" t="e">
        <f t="shared" si="1"/>
        <v>#DIV/0!</v>
      </c>
      <c r="G19" s="2844"/>
      <c r="H19" s="2844"/>
      <c r="I19" s="2844"/>
      <c r="J19" s="2834"/>
      <c r="K19" s="2834"/>
    </row>
    <row r="20" ht="16.5" spans="1:11">
      <c r="A20" s="2842" t="s">
        <v>759</v>
      </c>
      <c r="B20" s="2844"/>
      <c r="C20" s="2844"/>
      <c r="D20" s="2844"/>
      <c r="E20" s="2843" t="e">
        <f t="shared" si="0"/>
        <v>#DIV/0!</v>
      </c>
      <c r="F20" s="2843" t="e">
        <f t="shared" si="1"/>
        <v>#DIV/0!</v>
      </c>
      <c r="G20" s="2844"/>
      <c r="H20" s="2844"/>
      <c r="I20" s="2844"/>
      <c r="J20" s="2834"/>
      <c r="K20" s="2834"/>
    </row>
    <row r="21" ht="16.5" spans="1:11">
      <c r="A21" s="2842" t="s">
        <v>760</v>
      </c>
      <c r="B21" s="2844"/>
      <c r="C21" s="2844"/>
      <c r="D21" s="2844"/>
      <c r="E21" s="2843" t="e">
        <f t="shared" si="0"/>
        <v>#DIV/0!</v>
      </c>
      <c r="F21" s="2843" t="e">
        <f t="shared" si="1"/>
        <v>#DIV/0!</v>
      </c>
      <c r="G21" s="2844"/>
      <c r="H21" s="2844"/>
      <c r="I21" s="2844"/>
      <c r="J21" s="2834"/>
      <c r="K21" s="2834"/>
    </row>
    <row r="22" ht="16.5" spans="1:11">
      <c r="A22" s="2842" t="s">
        <v>761</v>
      </c>
      <c r="B22" s="2844"/>
      <c r="C22" s="2844"/>
      <c r="D22" s="2844"/>
      <c r="E22" s="2843" t="e">
        <f t="shared" si="0"/>
        <v>#DIV/0!</v>
      </c>
      <c r="F22" s="2843" t="e">
        <f t="shared" si="1"/>
        <v>#DIV/0!</v>
      </c>
      <c r="G22" s="2844"/>
      <c r="H22" s="2844"/>
      <c r="I22" s="2844"/>
      <c r="J22" s="2834"/>
      <c r="K22" s="2834"/>
    </row>
    <row r="23" ht="16.5" spans="1:11">
      <c r="A23" s="2842" t="s">
        <v>762</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P29" sqref="P29"/>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763</v>
      </c>
      <c r="B1" s="2483"/>
      <c r="C1" s="2484"/>
      <c r="D1" s="2483"/>
      <c r="E1" s="2483"/>
      <c r="F1" s="2485" t="s">
        <v>764</v>
      </c>
      <c r="G1" s="2486"/>
      <c r="H1" s="2487" t="str">
        <f>IF(G1="现房","——","估价对象范围")</f>
        <v>估价对象范围</v>
      </c>
      <c r="I1" s="2646"/>
    </row>
    <row r="2" customHeight="1" spans="1:9">
      <c r="A2" s="2488" t="str">
        <f>项目基本情况!S2</f>
        <v>房地产</v>
      </c>
      <c r="B2" s="2489"/>
      <c r="C2" s="2489"/>
      <c r="D2" s="2489"/>
      <c r="E2" s="2489"/>
      <c r="F2" s="2489"/>
      <c r="G2" s="2489"/>
      <c r="H2" s="2489"/>
      <c r="I2" s="2647"/>
    </row>
    <row r="3" ht="14" spans="1:9">
      <c r="A3" s="2490" t="s">
        <v>765</v>
      </c>
      <c r="B3" s="2159"/>
      <c r="C3" s="2159"/>
      <c r="D3" s="2159"/>
      <c r="E3" s="2159"/>
      <c r="F3" s="2159"/>
      <c r="G3" s="2159"/>
      <c r="H3" s="2159"/>
      <c r="I3" s="2159"/>
    </row>
    <row r="4" ht="14" spans="1:12">
      <c r="A4" s="2491" t="s">
        <v>766</v>
      </c>
      <c r="B4" s="2492" t="s">
        <v>767</v>
      </c>
      <c r="C4" s="2493" t="s">
        <v>311</v>
      </c>
      <c r="D4" s="2493" t="s">
        <v>311</v>
      </c>
      <c r="E4" s="2494" t="s">
        <v>768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496" t="s">
        <v>769</v>
      </c>
      <c r="B5" s="1360">
        <v>25</v>
      </c>
      <c r="C5" s="2497"/>
      <c r="D5" s="2498"/>
      <c r="E5" s="2148" t="s">
        <v>770</v>
      </c>
      <c r="F5" s="2499"/>
      <c r="G5" s="2499"/>
      <c r="H5" s="2499"/>
      <c r="I5" s="2364"/>
    </row>
    <row r="6" ht="14" spans="1:9">
      <c r="A6" s="2496"/>
      <c r="B6" s="1360"/>
      <c r="C6" s="2500"/>
      <c r="D6" s="2498"/>
      <c r="E6" s="2148" t="s">
        <v>771</v>
      </c>
      <c r="F6" s="2499"/>
      <c r="G6" s="2499"/>
      <c r="H6" s="2499"/>
      <c r="I6" s="2364"/>
    </row>
    <row r="7" ht="14" spans="1:9">
      <c r="A7" s="2496"/>
      <c r="B7" s="1360"/>
      <c r="C7" s="2501"/>
      <c r="D7" s="2498"/>
      <c r="E7" s="2148" t="s">
        <v>772</v>
      </c>
      <c r="F7" s="2499"/>
      <c r="G7" s="2499"/>
      <c r="H7" s="2499"/>
      <c r="I7" s="2364"/>
    </row>
    <row r="8" ht="14" spans="1:9">
      <c r="A8" s="2496" t="s">
        <v>773</v>
      </c>
      <c r="B8" s="1360">
        <v>15</v>
      </c>
      <c r="C8" s="2497"/>
      <c r="D8" s="2498"/>
      <c r="E8" s="2148" t="s">
        <v>774</v>
      </c>
      <c r="F8" s="2499"/>
      <c r="G8" s="2499"/>
      <c r="H8" s="2499"/>
      <c r="I8" s="2364"/>
    </row>
    <row r="9" ht="14" spans="1:9">
      <c r="A9" s="2496"/>
      <c r="B9" s="1360"/>
      <c r="C9" s="2501"/>
      <c r="D9" s="2498"/>
      <c r="E9" s="2148" t="s">
        <v>775</v>
      </c>
      <c r="F9" s="2499"/>
      <c r="G9" s="2499"/>
      <c r="H9" s="2499"/>
      <c r="I9" s="2364"/>
    </row>
    <row r="10" ht="14" spans="1:9">
      <c r="A10" s="2496" t="s">
        <v>776</v>
      </c>
      <c r="B10" s="1360">
        <v>15</v>
      </c>
      <c r="C10" s="2497"/>
      <c r="D10" s="2498"/>
      <c r="E10" s="2148" t="s">
        <v>777</v>
      </c>
      <c r="F10" s="2499"/>
      <c r="G10" s="2499"/>
      <c r="H10" s="2499"/>
      <c r="I10" s="2364"/>
    </row>
    <row r="11" ht="14" spans="1:9">
      <c r="A11" s="2496"/>
      <c r="B11" s="1360"/>
      <c r="C11" s="2501"/>
      <c r="D11" s="2498"/>
      <c r="E11" s="2148" t="s">
        <v>778</v>
      </c>
      <c r="F11" s="2499"/>
      <c r="G11" s="2499"/>
      <c r="H11" s="2499"/>
      <c r="I11" s="2364"/>
    </row>
    <row r="12" ht="14" spans="1:9">
      <c r="A12" s="2496" t="s">
        <v>779</v>
      </c>
      <c r="B12" s="1360">
        <v>15</v>
      </c>
      <c r="C12" s="2497"/>
      <c r="D12" s="2498"/>
      <c r="E12" s="2148" t="s">
        <v>780</v>
      </c>
      <c r="F12" s="2499"/>
      <c r="G12" s="2499"/>
      <c r="H12" s="2499"/>
      <c r="I12" s="2364"/>
    </row>
    <row r="13" ht="14" spans="1:9">
      <c r="A13" s="2496"/>
      <c r="B13" s="1360"/>
      <c r="C13" s="2501"/>
      <c r="D13" s="2498"/>
      <c r="E13" s="2148" t="s">
        <v>781</v>
      </c>
      <c r="F13" s="2499"/>
      <c r="G13" s="2499"/>
      <c r="H13" s="2499"/>
      <c r="I13" s="2364"/>
    </row>
    <row r="14" ht="14" spans="1:9">
      <c r="A14" s="2496" t="s">
        <v>782</v>
      </c>
      <c r="B14" s="1360">
        <v>30</v>
      </c>
      <c r="C14" s="2497">
        <v>1</v>
      </c>
      <c r="D14" s="2498">
        <v>1</v>
      </c>
      <c r="E14" s="2148" t="s">
        <v>783</v>
      </c>
      <c r="F14" s="2499"/>
      <c r="G14" s="2499"/>
      <c r="H14" s="2499"/>
      <c r="I14" s="2364"/>
    </row>
    <row r="15" ht="14" spans="1:9">
      <c r="A15" s="2496"/>
      <c r="B15" s="1360"/>
      <c r="C15" s="2500"/>
      <c r="D15" s="2498"/>
      <c r="E15" s="2148" t="s">
        <v>784</v>
      </c>
      <c r="F15" s="2499"/>
      <c r="G15" s="2499"/>
      <c r="H15" s="2499"/>
      <c r="I15" s="2364"/>
    </row>
    <row r="16" ht="14" spans="1:9">
      <c r="A16" s="2496"/>
      <c r="B16" s="1360"/>
      <c r="C16" s="2501"/>
      <c r="D16" s="2498"/>
      <c r="E16" s="2148" t="s">
        <v>785</v>
      </c>
      <c r="F16" s="2499"/>
      <c r="G16" s="2499"/>
      <c r="H16" s="2499"/>
      <c r="I16" s="2364"/>
    </row>
    <row r="17" ht="14" spans="1:13">
      <c r="A17" s="2502" t="s">
        <v>786</v>
      </c>
      <c r="B17" s="2503"/>
      <c r="C17" s="2504">
        <f>SUM(C5:C16)</f>
        <v>1</v>
      </c>
      <c r="D17" s="2504">
        <f>SUM(D5:D16)</f>
        <v>1</v>
      </c>
      <c r="E17" s="1036"/>
      <c r="F17" s="1036"/>
      <c r="G17" s="1036"/>
      <c r="H17" s="1036"/>
      <c r="I17" s="1036"/>
      <c r="K17" s="2106"/>
      <c r="L17" s="2106" t="s">
        <v>787</v>
      </c>
      <c r="M17" s="2106" t="s">
        <v>788</v>
      </c>
    </row>
    <row r="18" ht="31.9" customHeight="1" spans="1:13">
      <c r="A18" s="2505" t="s">
        <v>789</v>
      </c>
      <c r="B18" s="2506"/>
      <c r="C18" s="2507">
        <f>ROUND(C17/SUM(C17:D17),2)</f>
        <v>0.5</v>
      </c>
      <c r="D18" s="2507">
        <f>1-C18</f>
        <v>0.5</v>
      </c>
      <c r="E18" s="2508" t="s">
        <v>790</v>
      </c>
      <c r="F18" s="2509"/>
      <c r="G18" s="2509"/>
      <c r="H18" s="2509"/>
      <c r="I18" s="2509"/>
      <c r="K18" s="2106" t="s">
        <v>454</v>
      </c>
      <c r="L18" s="2106">
        <f>IF(C1="",'数据-汇总表'!E3,SUMIF(项目类型,C1,'数据-汇总表'!E17:E26)+SUMIF(项目类型,C1,'数据-汇总表'!I17:I26))</f>
        <v>0</v>
      </c>
      <c r="M18" s="2106">
        <f>IF(C1="",'数据-汇总表'!E3,SUMIF(项目类型,C1,'数据-汇总表'!E17:E26))</f>
        <v>0</v>
      </c>
    </row>
    <row r="19" ht="14" spans="1:13">
      <c r="A19" s="2510" t="s">
        <v>791</v>
      </c>
      <c r="B19" s="2511" t="s">
        <v>792</v>
      </c>
      <c r="C19" s="2512">
        <f ca="1">SUMIF(INDIRECT("'"&amp;C4&amp;"'"&amp;"!A:A"),结果表!B19,INDIRECT("'"&amp;C4&amp;"'"&amp;"!B:B"))</f>
        <v>109</v>
      </c>
      <c r="D19" s="1517">
        <f ca="1">SUMIF(INDIRECT("'"&amp;D4&amp;"'"&amp;"!A:A"),结果表!B19,INDIRECT("'"&amp;D4&amp;"'"&amp;"!B:B"))</f>
        <v>109</v>
      </c>
      <c r="E19" s="2510" t="s">
        <v>793</v>
      </c>
      <c r="F19" s="2511" t="s">
        <v>792</v>
      </c>
      <c r="G19" s="2513">
        <f ca="1">ROUND(C19*$C$18+D19*$D$18,0)</f>
        <v>109</v>
      </c>
      <c r="H19" s="2514" t="s">
        <v>794</v>
      </c>
      <c r="I19" s="1036"/>
      <c r="K19" s="2106" t="s">
        <v>458</v>
      </c>
      <c r="L19" s="2106" t="e">
        <f>IF(C1="",'数据-汇总表'!D3,SUMIF(项目类型,C1,'数据-汇总表'!D17:D26)+SUMIF(项目类型,C1,'数据-汇总表'!H17:H27))</f>
        <v>#DIV/0!</v>
      </c>
      <c r="M19" s="2106" t="e">
        <f>IF(C1="",'数据-汇总表'!D3,SUMIF(项目类型,C1,'数据-汇总表'!D17:D26))</f>
        <v>#DIV/0!</v>
      </c>
    </row>
    <row r="20" ht="14" spans="1:9">
      <c r="A20" s="2515"/>
      <c r="B20" s="2516" t="s">
        <v>795</v>
      </c>
      <c r="C20" s="1823">
        <f>典型户型修正!R24</f>
        <v>17000</v>
      </c>
      <c r="D20" s="1826">
        <f>C20</f>
        <v>17000</v>
      </c>
      <c r="E20" s="2515"/>
      <c r="F20" s="2516" t="s">
        <v>795</v>
      </c>
      <c r="G20" s="2517">
        <f>ROUND(C20*$C$18+D20*$D$18,0)</f>
        <v>17000</v>
      </c>
      <c r="H20" s="2264" t="s">
        <v>796</v>
      </c>
      <c r="I20" s="1036"/>
    </row>
    <row r="21" ht="15" customHeight="1" spans="1:9">
      <c r="A21" s="2445"/>
      <c r="B21" s="2518" t="s">
        <v>797</v>
      </c>
      <c r="C21" s="2519" t="e">
        <f ca="1">ROUND(C19*10000/L19,0)</f>
        <v>#DIV/0!</v>
      </c>
      <c r="D21" s="2520" t="e">
        <f ca="1">ROUND(D19*10000/L19,0)</f>
        <v>#DIV/0!</v>
      </c>
      <c r="E21" s="2445"/>
      <c r="F21" s="2518" t="s">
        <v>797</v>
      </c>
      <c r="G21" s="2521" t="e">
        <f ca="1">ROUND(G19*10000/L19,0)</f>
        <v>#DIV/0!</v>
      </c>
      <c r="H21" s="2522" t="s">
        <v>796</v>
      </c>
      <c r="I21" s="1036"/>
    </row>
    <row r="22" ht="14.75" spans="1:9">
      <c r="A22" s="2523" t="s">
        <v>798</v>
      </c>
      <c r="B22" s="2524"/>
      <c r="C22" s="2525"/>
      <c r="D22" s="2526">
        <f ca="1">IF(C19&lt;D19,D19/C19-1,C19/D19-1)</f>
        <v>0</v>
      </c>
      <c r="E22" s="1036"/>
      <c r="F22" s="1036"/>
      <c r="G22" s="1036"/>
      <c r="H22" s="1036"/>
      <c r="I22" s="1036"/>
    </row>
    <row r="23" ht="14.75" spans="1:9">
      <c r="A23" s="2483"/>
      <c r="B23" s="2483"/>
      <c r="C23" s="2483"/>
      <c r="D23" s="2483"/>
      <c r="E23" s="1036"/>
      <c r="F23" s="1036"/>
      <c r="G23" s="1036"/>
      <c r="H23" s="1036"/>
      <c r="I23" s="1036"/>
    </row>
    <row r="24" ht="14" spans="1:9">
      <c r="A24" s="2527" t="s">
        <v>799</v>
      </c>
      <c r="B24" s="2511" t="s">
        <v>792</v>
      </c>
      <c r="C24" s="2513">
        <f>IF(B30=0,0,D30)</f>
        <v>0</v>
      </c>
      <c r="D24" s="2528"/>
      <c r="E24" s="1036"/>
      <c r="F24" s="1036"/>
      <c r="G24" s="1036"/>
      <c r="H24" s="1036"/>
      <c r="I24" s="1036"/>
    </row>
    <row r="25" ht="14" spans="1:9">
      <c r="A25" s="2529"/>
      <c r="B25" s="2516" t="s">
        <v>795</v>
      </c>
      <c r="C25" s="2530">
        <f>IF(B30=0,0,C30)</f>
        <v>0</v>
      </c>
      <c r="D25" s="2531"/>
      <c r="E25" s="1036"/>
      <c r="F25" s="1036"/>
      <c r="G25" s="1036"/>
      <c r="H25" s="1036"/>
      <c r="I25" s="1036"/>
    </row>
    <row r="26" ht="13.5" customHeight="1" spans="1:9">
      <c r="A26" s="2532" t="s">
        <v>800</v>
      </c>
      <c r="B26" s="2533" t="s">
        <v>801</v>
      </c>
      <c r="C26" s="2533" t="s">
        <v>802</v>
      </c>
      <c r="D26" s="2534" t="s">
        <v>803</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804</v>
      </c>
      <c r="B30" s="2533"/>
      <c r="C30" s="2533"/>
      <c r="D30" s="2533"/>
      <c r="E30" s="2535" t="s">
        <v>805</v>
      </c>
      <c r="F30" s="1036"/>
      <c r="G30" s="1036"/>
      <c r="H30" s="1036"/>
      <c r="I30" s="1036"/>
    </row>
    <row r="31" s="2477" customFormat="1" ht="26.45" customHeight="1" spans="1:36">
      <c r="A31" s="2536"/>
      <c r="B31" s="2537"/>
      <c r="C31" s="2537"/>
      <c r="D31" s="2537"/>
      <c r="E31" s="2537"/>
      <c r="F31" s="2537"/>
      <c r="G31" s="2537"/>
      <c r="H31" s="2537"/>
      <c r="I31" s="2649" t="s">
        <v>806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807</v>
      </c>
      <c r="B32" s="2539"/>
      <c r="C32" s="2540">
        <f ca="1">IF(D32="总价",G19-C24,G20-C25)</f>
        <v>17000</v>
      </c>
      <c r="D32" s="2541" t="s">
        <v>808</v>
      </c>
      <c r="E32" s="1036"/>
      <c r="F32" s="1036"/>
      <c r="G32" s="1036"/>
      <c r="H32" s="1036"/>
      <c r="I32" s="1036"/>
    </row>
    <row r="33" ht="14" spans="1:9">
      <c r="A33" s="2386" t="s">
        <v>809</v>
      </c>
      <c r="B33" s="2542"/>
      <c r="C33" s="2543" t="s">
        <v>810</v>
      </c>
      <c r="D33" s="2544" t="s">
        <v>811</v>
      </c>
      <c r="E33" s="2545" t="s">
        <v>812</v>
      </c>
      <c r="F33" s="2546" t="str">
        <f>IF(D32="楼面单价","取值（单价）","取值（总价）")</f>
        <v>取值（单价）</v>
      </c>
      <c r="G33" s="1036"/>
      <c r="H33" s="1036"/>
      <c r="I33" s="1036"/>
    </row>
    <row r="34" ht="14" spans="1:9">
      <c r="A34" s="2547"/>
      <c r="B34" s="2548" t="s">
        <v>813</v>
      </c>
      <c r="C34" s="2549">
        <f ca="1">IF(C33="自定义",F34,C32-C35)</f>
        <v>0</v>
      </c>
      <c r="D34" s="2550">
        <f ca="1">IF(C33="自定义",ROUND(C34/C32,3),IF(C33="收益比率",SUMIF(INDIRECT("'"&amp;D33&amp;"'"&amp;"!b:b"),"土地收益比率",INDIRECT("'"&amp;D33&amp;"'"&amp;"!c:c")),SUMIF(INDIRECT("'"&amp;D33&amp;"'"&amp;"!b:b"),"土地成本比率",INDIRECT("'"&amp;D33&amp;"'"&amp;"!c:c"))))</f>
        <v>0</v>
      </c>
      <c r="E34" s="2551" t="s">
        <v>814</v>
      </c>
      <c r="F34" s="2552"/>
      <c r="G34" s="1036"/>
      <c r="H34" s="1036"/>
      <c r="I34" s="1036"/>
    </row>
    <row r="35" ht="14.75" spans="1:9">
      <c r="A35" s="2553"/>
      <c r="B35" s="2554" t="s">
        <v>815</v>
      </c>
      <c r="C35" s="2555">
        <f ca="1">IF(C33="自定义",F35,ROUND(C32*D35,0))</f>
        <v>0</v>
      </c>
      <c r="D35" s="2556">
        <f ca="1">IF(C33="自定义",ROUND(C35/C32,3),IF(C33="收益比率",SUMIF(INDIRECT("'"&amp;D33&amp;"'"&amp;"!b:b"),"建筑物收益比率",INDIRECT("'"&amp;D33&amp;"'"&amp;"!c:c")),SUMIF(INDIRECT("'"&amp;D33&amp;"'"&amp;"!b:b"),"建筑物成本比率",INDIRECT("'"&amp;D33&amp;"'"&amp;"!c:c"))))</f>
        <v>0</v>
      </c>
      <c r="E35" s="2557" t="s">
        <v>816</v>
      </c>
      <c r="F35" s="2558"/>
      <c r="G35" s="1036"/>
      <c r="H35" s="1036"/>
      <c r="I35" s="1036"/>
    </row>
    <row r="36" ht="14.75" spans="1:9">
      <c r="A36" s="2559" t="s">
        <v>817</v>
      </c>
      <c r="B36" s="2560" t="s">
        <v>818</v>
      </c>
      <c r="C36" s="2561"/>
      <c r="D36" s="2562"/>
      <c r="E36" s="2563"/>
      <c r="F36" s="2564"/>
      <c r="G36" s="1036"/>
      <c r="H36" s="1036"/>
      <c r="I36" s="1036"/>
    </row>
    <row r="37" ht="14.75" spans="1:9">
      <c r="A37" s="2565"/>
      <c r="B37" s="2566" t="s">
        <v>819</v>
      </c>
      <c r="C37" s="2567"/>
      <c r="D37" s="2568"/>
      <c r="E37" s="2568"/>
      <c r="F37" s="2564"/>
      <c r="G37" s="1036"/>
      <c r="H37" s="1036"/>
      <c r="I37" s="1036"/>
    </row>
    <row r="38" ht="14.75" spans="1:9">
      <c r="A38" s="2569"/>
      <c r="B38" s="2570" t="s">
        <v>820</v>
      </c>
      <c r="C38" s="2571"/>
      <c r="D38" s="2572" t="s">
        <v>821</v>
      </c>
      <c r="E38" s="2568"/>
      <c r="F38" s="2564"/>
      <c r="G38" s="1036"/>
      <c r="H38" s="1036"/>
      <c r="I38" s="1036"/>
    </row>
    <row r="39" ht="14" spans="1:9">
      <c r="A39" s="2515" t="s">
        <v>822</v>
      </c>
      <c r="B39" s="2573" t="s">
        <v>801</v>
      </c>
      <c r="C39" s="2574" t="s">
        <v>802</v>
      </c>
      <c r="D39" s="2574" t="s">
        <v>823</v>
      </c>
      <c r="E39" s="2575" t="s">
        <v>803</v>
      </c>
      <c r="F39" s="2564"/>
      <c r="G39" s="1036"/>
      <c r="H39" s="1036"/>
      <c r="I39" s="1036"/>
    </row>
    <row r="40" ht="14" spans="1:9">
      <c r="A40" s="2576" t="s">
        <v>824</v>
      </c>
      <c r="B40" s="2577"/>
      <c r="C40" s="1054"/>
      <c r="D40" s="1054"/>
      <c r="E40" s="2578"/>
      <c r="F40" s="2564"/>
      <c r="G40" s="1036"/>
      <c r="H40" s="1036"/>
      <c r="I40" s="1036"/>
    </row>
    <row r="41" ht="14" spans="1:9">
      <c r="A41" s="2576" t="s">
        <v>825</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826</v>
      </c>
      <c r="B44" s="2585"/>
      <c r="C44" s="2585"/>
      <c r="D44" s="2586"/>
      <c r="E44" s="2586"/>
      <c r="F44" s="2587"/>
      <c r="G44" s="2587"/>
      <c r="H44" s="2587"/>
      <c r="I44" s="2587"/>
      <c r="J44" s="2653" t="s">
        <v>827</v>
      </c>
      <c r="K44" s="2654"/>
      <c r="L44" s="2654"/>
      <c r="M44" s="2654"/>
      <c r="N44" s="2654"/>
      <c r="O44" s="2654"/>
    </row>
    <row r="45" ht="14.25" customHeight="1" spans="1:15">
      <c r="A45" s="2588" t="s">
        <v>828</v>
      </c>
      <c r="B45" s="2589"/>
      <c r="C45" s="2590"/>
      <c r="D45" s="2105">
        <f ca="1">ROUND(H101*F45,0)</f>
        <v>0</v>
      </c>
      <c r="E45" s="2591" t="s">
        <v>829</v>
      </c>
      <c r="F45" s="2592">
        <v>1</v>
      </c>
      <c r="G45" s="2593" t="s">
        <v>830</v>
      </c>
      <c r="H45" s="1036"/>
      <c r="I45" s="1036"/>
      <c r="J45" s="2655" t="s">
        <v>831</v>
      </c>
      <c r="K45" s="2655"/>
      <c r="L45" s="2655"/>
      <c r="M45" s="2655"/>
      <c r="N45" s="2655"/>
      <c r="O45" s="2655"/>
    </row>
    <row r="46" ht="14.25" customHeight="1" spans="1:15">
      <c r="A46" s="2594" t="s">
        <v>832</v>
      </c>
      <c r="B46" s="2595"/>
      <c r="C46" s="2595"/>
      <c r="D46" s="2595"/>
      <c r="E46" s="2595"/>
      <c r="F46" s="2595"/>
      <c r="G46" s="2596"/>
      <c r="H46" s="2597"/>
      <c r="I46" s="1037"/>
      <c r="J46" s="649">
        <v>1</v>
      </c>
      <c r="K46" s="2656" t="s">
        <v>833</v>
      </c>
      <c r="L46" s="2656"/>
      <c r="M46" s="2657"/>
      <c r="N46" s="2657"/>
      <c r="O46" s="2657"/>
    </row>
    <row r="47" ht="12" customHeight="1" spans="1:15">
      <c r="A47" s="2598" t="s">
        <v>834</v>
      </c>
      <c r="B47" s="2599"/>
      <c r="C47" s="2600"/>
      <c r="D47" s="2158" t="s">
        <v>835</v>
      </c>
      <c r="E47" s="2106" t="s">
        <v>836</v>
      </c>
      <c r="F47" s="2601" t="s">
        <v>837</v>
      </c>
      <c r="G47" s="2602" t="s">
        <v>838</v>
      </c>
      <c r="H47" s="2603"/>
      <c r="I47" s="1037"/>
      <c r="J47" s="649">
        <v>2</v>
      </c>
      <c r="K47" s="2656" t="s">
        <v>839</v>
      </c>
      <c r="L47" s="2656"/>
      <c r="M47" s="2658">
        <f>'数据-取费表'!B2</f>
        <v>0</v>
      </c>
      <c r="N47" s="2658"/>
      <c r="O47" s="2658"/>
    </row>
    <row r="48" ht="26" spans="1:15">
      <c r="A48" s="2604" t="s">
        <v>840</v>
      </c>
      <c r="B48" s="2162"/>
      <c r="C48" s="2162"/>
      <c r="D48" s="2262" t="b">
        <f ca="1">IF(H48="情况1",0,IF(H48="情况2",D52,IF(H48="情况3",D53,IF(H48="情况4",D54))))</f>
        <v>0</v>
      </c>
      <c r="E48" s="2162" t="str">
        <f>IF(H48="情况4","(销售额-原购置价)×税（费）率","销售额×税（费）率")</f>
        <v>销售额×税（费）率</v>
      </c>
      <c r="F48" s="2605">
        <f>IF(H48="情况1","免征",'数据-取费表'!B41)</f>
        <v>0</v>
      </c>
      <c r="G48" s="2606" t="s">
        <v>841</v>
      </c>
      <c r="H48" s="2607"/>
      <c r="I48" s="2597"/>
      <c r="J48" s="649">
        <v>3</v>
      </c>
      <c r="K48" s="2656" t="s">
        <v>842</v>
      </c>
      <c r="L48" s="2656"/>
      <c r="M48" s="2659">
        <f ca="1">H101</f>
        <v>0</v>
      </c>
      <c r="N48" s="2659"/>
      <c r="O48" s="2659"/>
    </row>
    <row r="49" ht="25.5" customHeight="1" spans="1:15">
      <c r="A49" s="2604" t="s">
        <v>843</v>
      </c>
      <c r="B49" s="2140" t="s">
        <v>844</v>
      </c>
      <c r="C49" s="2140"/>
      <c r="D49" s="2608">
        <v>0</v>
      </c>
      <c r="E49" s="2168" t="s">
        <v>845</v>
      </c>
      <c r="F49" s="2609" t="s">
        <v>124</v>
      </c>
      <c r="G49" s="2610"/>
      <c r="H49" s="2611" t="s">
        <v>846</v>
      </c>
      <c r="I49" s="2660"/>
      <c r="J49" s="649">
        <v>4</v>
      </c>
      <c r="K49" s="2656" t="str">
        <f>IF(项目基本情况!E8="房地产抵押价值","房地产抵押价值","抵押担保权已注销时的房地产抵押价值")</f>
        <v>抵押担保权已注销时的房地产抵押价值</v>
      </c>
      <c r="L49" s="2656"/>
      <c r="M49" s="2659" t="str">
        <f ca="1">IF(项目基本情况!E8="房地产抵押价值",H107,H109)</f>
        <v>——</v>
      </c>
      <c r="N49" s="2659"/>
      <c r="O49" s="2659"/>
    </row>
    <row r="50" ht="25.5" customHeight="1" spans="1:15">
      <c r="A50" s="2612"/>
      <c r="B50" s="2140" t="s">
        <v>847</v>
      </c>
      <c r="C50" s="2140"/>
      <c r="D50" s="2613"/>
      <c r="E50" s="2183"/>
      <c r="F50" s="2609"/>
      <c r="G50" s="2614"/>
      <c r="H50" s="2615" t="s">
        <v>848</v>
      </c>
      <c r="I50" s="2660"/>
      <c r="J50" s="2655" t="s">
        <v>849</v>
      </c>
      <c r="K50" s="2655"/>
      <c r="L50" s="2655"/>
      <c r="M50" s="2655"/>
      <c r="N50" s="2655"/>
      <c r="O50" s="2655"/>
    </row>
    <row r="51" ht="20.45" customHeight="1" spans="1:15">
      <c r="A51" s="2616"/>
      <c r="B51" s="2140" t="s">
        <v>850</v>
      </c>
      <c r="C51" s="2140"/>
      <c r="D51" s="2158"/>
      <c r="E51" s="2172"/>
      <c r="F51" s="2609"/>
      <c r="G51" s="2617"/>
      <c r="H51" s="2615" t="s">
        <v>851</v>
      </c>
      <c r="I51" s="2660"/>
      <c r="J51" s="2656" t="s">
        <v>852</v>
      </c>
      <c r="K51" s="2656" t="s">
        <v>853</v>
      </c>
      <c r="L51" s="2656"/>
      <c r="M51" s="2656" t="s">
        <v>854</v>
      </c>
      <c r="N51" s="2656" t="s">
        <v>855</v>
      </c>
      <c r="O51" s="2656" t="s">
        <v>856</v>
      </c>
    </row>
    <row r="52" ht="24" customHeight="1" spans="1:15">
      <c r="A52" s="2618" t="s">
        <v>857</v>
      </c>
      <c r="B52" s="2140" t="s">
        <v>858</v>
      </c>
      <c r="C52" s="2140"/>
      <c r="D52" s="2158">
        <f ca="1">ROUND(D45*'数据-取费表'!B41/(1+'数据-取费表'!C42),0)</f>
        <v>0</v>
      </c>
      <c r="E52" s="2162" t="s">
        <v>859</v>
      </c>
      <c r="F52" s="2619">
        <f>'数据-取费表'!B41</f>
        <v>0</v>
      </c>
      <c r="G52" s="2620"/>
      <c r="H52" s="2277"/>
      <c r="I52" s="2661"/>
      <c r="J52" s="649">
        <v>1</v>
      </c>
      <c r="K52" s="649" t="s">
        <v>860</v>
      </c>
      <c r="L52" s="649"/>
      <c r="M52" s="2662" t="b">
        <f ca="1">D48</f>
        <v>0</v>
      </c>
      <c r="N52" s="649" t="str">
        <f>E48</f>
        <v>销售额×税（费）率</v>
      </c>
      <c r="O52" s="2663">
        <f>F48</f>
        <v>0</v>
      </c>
    </row>
    <row r="53" ht="12" customHeight="1" spans="1:15">
      <c r="A53" s="2618" t="s">
        <v>861</v>
      </c>
      <c r="B53" s="2139" t="s">
        <v>862</v>
      </c>
      <c r="C53" s="2621"/>
      <c r="D53" s="2158">
        <f ca="1">ROUND(D45*'数据-取费表'!B41/(1+'数据-取费表'!C42),0)</f>
        <v>0</v>
      </c>
      <c r="E53" s="2162" t="s">
        <v>859</v>
      </c>
      <c r="F53" s="2619">
        <f>'数据-取费表'!B41</f>
        <v>0</v>
      </c>
      <c r="G53" s="2620"/>
      <c r="H53" s="2277"/>
      <c r="I53" s="2661"/>
      <c r="J53" s="649">
        <v>2</v>
      </c>
      <c r="K53" s="649" t="s">
        <v>863</v>
      </c>
      <c r="L53" s="649"/>
      <c r="M53" s="2662">
        <f ca="1" t="shared" ref="M53:O54" si="0">D55</f>
        <v>0</v>
      </c>
      <c r="N53" s="649" t="str">
        <f t="shared" si="0"/>
        <v>销售额×税（费）率</v>
      </c>
      <c r="O53" s="2663" t="str">
        <f t="shared" si="0"/>
        <v>免征</v>
      </c>
    </row>
    <row r="54" ht="12" customHeight="1" spans="1:15">
      <c r="A54" s="2618" t="s">
        <v>864</v>
      </c>
      <c r="B54" s="2139" t="s">
        <v>865</v>
      </c>
      <c r="C54" s="2621"/>
      <c r="D54" s="2158">
        <f ca="1">C68</f>
        <v>0</v>
      </c>
      <c r="E54" s="2172" t="s">
        <v>866</v>
      </c>
      <c r="F54" s="2619">
        <f>'数据-取费表'!B41</f>
        <v>0</v>
      </c>
      <c r="G54" s="2620"/>
      <c r="H54" s="2622"/>
      <c r="I54" s="2661"/>
      <c r="J54" s="649">
        <v>3</v>
      </c>
      <c r="K54" s="649" t="s">
        <v>867</v>
      </c>
      <c r="L54" s="649"/>
      <c r="M54" s="2662">
        <f ca="1" t="shared" si="0"/>
        <v>0</v>
      </c>
      <c r="N54" s="649" t="str">
        <f t="shared" si="0"/>
        <v>增值额×税（费）率</v>
      </c>
      <c r="O54" s="2664" t="str">
        <f t="shared" si="0"/>
        <v>免征</v>
      </c>
    </row>
    <row r="55" ht="24" customHeight="1" spans="1:15">
      <c r="A55" s="2618" t="s">
        <v>868</v>
      </c>
      <c r="B55" s="2162"/>
      <c r="C55" s="2162"/>
      <c r="D55" s="2262">
        <f ca="1">IF(H55="个人住宅",0,ROUND(D45*I55,0))</f>
        <v>0</v>
      </c>
      <c r="E55" s="2162" t="s">
        <v>869</v>
      </c>
      <c r="F55" s="2619" t="str">
        <f>IF(H55="正常",I55,"免征")</f>
        <v>免征</v>
      </c>
      <c r="G55" s="2620"/>
      <c r="H55" s="2607"/>
      <c r="I55" s="2665">
        <f>'数据-取费表'!B49</f>
        <v>0</v>
      </c>
      <c r="J55" s="649">
        <f>IF(H59="非个人房产","",4)</f>
        <v>4</v>
      </c>
      <c r="K55" s="649" t="str">
        <f>IF(H59="非个人房产","——","个人所得税")</f>
        <v>个人所得税</v>
      </c>
      <c r="L55" s="649"/>
      <c r="M55" s="2666">
        <f ca="1">D59</f>
        <v>0</v>
      </c>
      <c r="N55" s="630" t="str">
        <f>E59</f>
        <v>差额计税</v>
      </c>
      <c r="O55" s="2667">
        <f>F59</f>
        <v>0.01</v>
      </c>
    </row>
    <row r="56" ht="26" spans="1:15">
      <c r="A56" s="2618" t="s">
        <v>870</v>
      </c>
      <c r="B56" s="2162"/>
      <c r="C56" s="2162"/>
      <c r="D56" s="2262">
        <f ca="1">IF(H56="个人住宅",D57,D58)</f>
        <v>0</v>
      </c>
      <c r="E56" s="2162" t="s">
        <v>871</v>
      </c>
      <c r="F56" s="2619" t="str">
        <f>IF(H56="正常",F58,"免征")</f>
        <v>免征</v>
      </c>
      <c r="G56" s="2623" t="s">
        <v>872</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843</v>
      </c>
      <c r="B57" s="2139" t="s">
        <v>873</v>
      </c>
      <c r="C57" s="2621"/>
      <c r="D57" s="2608">
        <v>0</v>
      </c>
      <c r="E57" s="2168" t="s">
        <v>845</v>
      </c>
      <c r="F57" s="2106"/>
      <c r="G57" s="2620"/>
      <c r="H57" s="2625"/>
      <c r="I57" s="2635"/>
      <c r="J57" s="649">
        <f>IF(AND(J55="",J56=""),4,IF(项目基本情况!K6="上海银行",结果表!J56+1,结果表!J55+1))</f>
        <v>5</v>
      </c>
      <c r="K57" s="649" t="s">
        <v>874</v>
      </c>
      <c r="L57" s="2668" t="s">
        <v>875</v>
      </c>
      <c r="M57" s="2669"/>
      <c r="N57" s="2670">
        <f ca="1">SUMIF(M52:M56,"&lt;9e307")</f>
        <v>0</v>
      </c>
      <c r="O57" s="2671"/>
      <c r="P57" s="2672" t="e">
        <f ca="1">N57/M49</f>
        <v>#VALUE!</v>
      </c>
    </row>
    <row r="58" ht="26" spans="1:15">
      <c r="A58" s="2618" t="s">
        <v>857</v>
      </c>
      <c r="B58" s="2139" t="s">
        <v>876</v>
      </c>
      <c r="C58" s="2140"/>
      <c r="D58" s="2262">
        <f ca="1">IF(H58="转让取得",C81,C97)</f>
        <v>0</v>
      </c>
      <c r="E58" s="2162" t="s">
        <v>871</v>
      </c>
      <c r="F58" s="2106" t="s">
        <v>124</v>
      </c>
      <c r="G58" s="2620"/>
      <c r="H58" s="2624"/>
      <c r="I58" s="2635"/>
      <c r="J58" s="649"/>
      <c r="K58" s="649"/>
      <c r="L58" s="2668" t="s">
        <v>877</v>
      </c>
      <c r="M58" s="2673"/>
      <c r="N58" s="2674" t="str">
        <f ca="1">NUMBERSTRING(INT(N57*10000),2)&amp;"元整"</f>
        <v>零元整</v>
      </c>
      <c r="O58" s="2675"/>
    </row>
    <row r="59" ht="26.75" spans="1:15">
      <c r="A59" s="2626" t="s">
        <v>878</v>
      </c>
      <c r="B59" s="2627"/>
      <c r="C59" s="2627"/>
      <c r="D59" s="2628">
        <f ca="1">IF(H59="非个人房产","——",IF(H59="个人住宅（满五唯一有凭证）",0,IF(H59="个人其他（无凭证）",ROUND(D45*F59,0),ROUND(C67*F59,0))))</f>
        <v>0</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872</v>
      </c>
      <c r="H59" s="2632"/>
      <c r="I59" s="2676" t="s">
        <v>879</v>
      </c>
      <c r="J59" s="630">
        <f>J57+1</f>
        <v>6</v>
      </c>
      <c r="K59" s="649" t="s">
        <v>880</v>
      </c>
      <c r="L59" s="649" t="s">
        <v>875</v>
      </c>
      <c r="M59" s="2677"/>
      <c r="N59" s="2678" t="e">
        <f ca="1">M49-N57</f>
        <v>#VALUE!</v>
      </c>
      <c r="O59" s="2679"/>
    </row>
    <row r="60" ht="12" customHeight="1" spans="1:15">
      <c r="A60" s="2633"/>
      <c r="B60" s="2483"/>
      <c r="C60" s="2483"/>
      <c r="D60" s="2483"/>
      <c r="E60" s="2634"/>
      <c r="F60" s="2635"/>
      <c r="G60" s="2635"/>
      <c r="H60" s="2636"/>
      <c r="I60" s="1036"/>
      <c r="J60" s="635"/>
      <c r="K60" s="649"/>
      <c r="L60" s="2668" t="s">
        <v>877</v>
      </c>
      <c r="M60" s="2673"/>
      <c r="N60" s="2674" t="e">
        <f ca="1">NUMBERSTRING(INT(N59*10000),2)&amp;"元整"</f>
        <v>#VALUE!</v>
      </c>
      <c r="O60" s="2675"/>
    </row>
    <row r="61" ht="14.75" spans="1:15">
      <c r="A61" s="2637" t="s">
        <v>881</v>
      </c>
      <c r="B61" s="2637"/>
      <c r="C61" s="2637"/>
      <c r="D61" s="2637"/>
      <c r="E61" s="2637"/>
      <c r="F61" s="2635"/>
      <c r="G61" s="2635"/>
      <c r="H61" s="2636"/>
      <c r="I61" s="1036"/>
      <c r="J61" s="649">
        <f>J59+1</f>
        <v>7</v>
      </c>
      <c r="K61" s="649" t="s">
        <v>882</v>
      </c>
      <c r="L61" s="649"/>
      <c r="M61" s="2680"/>
      <c r="N61" s="2681" t="e">
        <f ca="1">ROUND(N59*10000/'数据-汇总表'!E3,0)</f>
        <v>#VALUE!</v>
      </c>
      <c r="O61" s="2682"/>
    </row>
    <row r="62" ht="14" spans="1:9">
      <c r="A62" s="2638" t="s">
        <v>883</v>
      </c>
      <c r="B62" s="600"/>
      <c r="C62" s="600"/>
      <c r="D62" s="600" t="s">
        <v>884</v>
      </c>
      <c r="E62" s="2639" t="s">
        <v>838</v>
      </c>
      <c r="F62" s="2635"/>
      <c r="G62" s="2635"/>
      <c r="H62" s="2636"/>
      <c r="I62" s="1036"/>
    </row>
    <row r="63" ht="14" spans="1:35">
      <c r="A63" s="2640" t="s">
        <v>885</v>
      </c>
      <c r="B63" s="660" t="s">
        <v>886</v>
      </c>
      <c r="C63" s="2641">
        <f ca="1">ROUND((C64+C65)/(1+'数据-取费表'!C42),0)</f>
        <v>0</v>
      </c>
      <c r="D63" s="660"/>
      <c r="E63" s="2642"/>
      <c r="F63" s="2635"/>
      <c r="G63" s="2635"/>
      <c r="H63" s="2636"/>
      <c r="I63" s="1036"/>
      <c r="J63" s="2683" t="s">
        <v>887</v>
      </c>
      <c r="K63" s="2683" t="s">
        <v>888</v>
      </c>
      <c r="L63" s="2683" t="e">
        <f ca="1">IF(M49&gt;10000,M49*0.5%,IF(AND(M49&gt;1000,M49&lt;=10000),M49*1%,IF(AND(M49&gt;100,M49&lt;=1000),M49*3%,IF(AND(M49&gt;10,M49&lt;=100),M49*5%,M49*8%))))</f>
        <v>#VALUE!</v>
      </c>
      <c r="M63" s="2106" t="e">
        <f ca="1">ROUND(L63,1)</f>
        <v>#VALUE!</v>
      </c>
      <c r="N63" s="2684"/>
      <c r="Z63" s="2480"/>
      <c r="AI63" s="2481"/>
    </row>
    <row r="64" ht="14.25" customHeight="1" spans="1:35">
      <c r="A64" s="2643" t="s">
        <v>889</v>
      </c>
      <c r="B64" s="583" t="s">
        <v>890</v>
      </c>
      <c r="C64" s="2644">
        <f ca="1">D45</f>
        <v>0</v>
      </c>
      <c r="D64" s="583" t="s">
        <v>124</v>
      </c>
      <c r="E64" s="2645"/>
      <c r="F64" s="2635"/>
      <c r="G64" s="2635"/>
      <c r="H64" s="2636"/>
      <c r="I64" s="1036"/>
      <c r="J64" s="2683"/>
      <c r="K64" s="2683" t="s">
        <v>891</v>
      </c>
      <c r="L64" s="2683"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892</v>
      </c>
      <c r="Z64" s="2480"/>
      <c r="AI64" s="2481"/>
    </row>
    <row r="65" ht="14.25" customHeight="1" spans="1:35">
      <c r="A65" s="2643" t="s">
        <v>893</v>
      </c>
      <c r="B65" s="583" t="s">
        <v>894</v>
      </c>
      <c r="C65" s="2686"/>
      <c r="D65" s="583"/>
      <c r="E65" s="2645"/>
      <c r="F65" s="2635"/>
      <c r="G65" s="2635"/>
      <c r="H65" s="2636"/>
      <c r="I65" s="1036"/>
      <c r="J65" s="2683"/>
      <c r="K65" s="2683" t="s">
        <v>895</v>
      </c>
      <c r="L65" s="2683" t="e">
        <f ca="1">IF(M49&gt;1000,M49*0.1%,IF(AND(M49&gt;500,M49&lt;=1000),M49*0.5%,IF(AND(M49&gt;50,M49&lt;=500),M49*1%,IF(AND(M49&gt;1,M49&lt;=50),M49*1.5%))))</f>
        <v>#VALUE!</v>
      </c>
      <c r="M65" s="2106" t="e">
        <f ca="1" t="shared" si="1"/>
        <v>#VALUE!</v>
      </c>
      <c r="N65" s="2277" t="s">
        <v>892</v>
      </c>
      <c r="Z65" s="2480"/>
      <c r="AI65" s="2481"/>
    </row>
    <row r="66" ht="14.25" customHeight="1" spans="1:35">
      <c r="A66" s="2640" t="s">
        <v>896</v>
      </c>
      <c r="B66" s="2687" t="s">
        <v>897</v>
      </c>
      <c r="C66" s="2688"/>
      <c r="D66" s="2687" t="s">
        <v>124</v>
      </c>
      <c r="E66" s="2689" t="s">
        <v>898</v>
      </c>
      <c r="F66" s="2635"/>
      <c r="G66" s="2635"/>
      <c r="H66" s="2636"/>
      <c r="I66" s="1036"/>
      <c r="J66" s="2683"/>
      <c r="K66" s="2683" t="s">
        <v>899</v>
      </c>
      <c r="L66" s="2683" t="e">
        <f ca="1">M49*0.5%</f>
        <v>#VALUE!</v>
      </c>
      <c r="M66" s="2106" t="e">
        <f ca="1">IF(L66&gt;0.5,0.5,ROUND(L66,0))</f>
        <v>#VALUE!</v>
      </c>
      <c r="N66" s="2277" t="s">
        <v>900</v>
      </c>
      <c r="Z66" s="2480"/>
      <c r="AI66" s="2481"/>
    </row>
    <row r="67" ht="14.25" customHeight="1" spans="1:35">
      <c r="A67" s="2640" t="s">
        <v>901</v>
      </c>
      <c r="B67" s="2687" t="s">
        <v>902</v>
      </c>
      <c r="C67" s="2690">
        <f ca="1">C63-C66</f>
        <v>0</v>
      </c>
      <c r="D67" s="583" t="s">
        <v>124</v>
      </c>
      <c r="E67" s="2645"/>
      <c r="F67" s="2635"/>
      <c r="G67" s="2635"/>
      <c r="H67" s="2636"/>
      <c r="I67" s="1036"/>
      <c r="J67" s="2683"/>
      <c r="K67" s="2683" t="s">
        <v>903</v>
      </c>
      <c r="L67" s="2683"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4"/>
      <c r="Z67" s="2480"/>
      <c r="AI67" s="2481"/>
    </row>
    <row r="68" ht="14.25" customHeight="1" spans="1:35">
      <c r="A68" s="2691" t="s">
        <v>904</v>
      </c>
      <c r="B68" s="2692" t="s">
        <v>905</v>
      </c>
      <c r="C68" s="2693">
        <f ca="1">IF(C67&lt;=0,0,ROUND(C67*D68,0))</f>
        <v>0</v>
      </c>
      <c r="D68" s="858">
        <f>'数据-取费表'!B41</f>
        <v>0</v>
      </c>
      <c r="E68" s="2694"/>
      <c r="F68" s="2635"/>
      <c r="G68" s="2635"/>
      <c r="H68" s="2636"/>
      <c r="I68" s="1036"/>
      <c r="J68" s="2683"/>
      <c r="K68" s="2683" t="s">
        <v>906</v>
      </c>
      <c r="L68" s="2683" t="e">
        <f ca="1">IF(M49&gt;10000,M49*0.5%,IF(AND(M49&gt;5000,M49&lt;=10000),M49*1%,IF(AND(M49&gt;1000,M49&lt;=5000),M49*2%,IF(AND(M49&gt;200,M49&lt;=1000),M49*3%,M49*5%))))</f>
        <v>#VALUE!</v>
      </c>
      <c r="M68" s="2106" t="e">
        <f ca="1">ROUND(L68,1)</f>
        <v>#VALUE!</v>
      </c>
      <c r="N68" s="2684"/>
      <c r="Z68" s="2480"/>
      <c r="AI68" s="2481"/>
    </row>
    <row r="69" s="2478" customFormat="1" ht="16.5" customHeight="1" spans="1:34">
      <c r="A69" s="2695"/>
      <c r="B69" s="2696"/>
      <c r="C69" s="2697"/>
      <c r="D69" s="774"/>
      <c r="E69" s="2698"/>
      <c r="F69" s="2634"/>
      <c r="G69" s="2634"/>
      <c r="H69" s="2582"/>
      <c r="I69" s="2483"/>
      <c r="J69" s="2683"/>
      <c r="K69" s="2683" t="s">
        <v>907</v>
      </c>
      <c r="L69" s="2683"/>
      <c r="M69" s="2106" t="e">
        <f ca="1">ROUND(SUM(M63:M68),0)</f>
        <v>#VALUE!</v>
      </c>
      <c r="N69" s="2796"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908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883</v>
      </c>
      <c r="B71" s="600"/>
      <c r="C71" s="600"/>
      <c r="D71" s="600" t="s">
        <v>884</v>
      </c>
      <c r="E71" s="2701" t="s">
        <v>838</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885</v>
      </c>
      <c r="B72" s="2687" t="s">
        <v>909</v>
      </c>
      <c r="C72" s="2690">
        <f ca="1">ROUND(D45/(1+'数据-取费表'!C42),0)</f>
        <v>0</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896</v>
      </c>
      <c r="B73" s="2601" t="s">
        <v>910</v>
      </c>
      <c r="C73" s="2690">
        <f ca="1">C74+C78</f>
        <v>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889</v>
      </c>
      <c r="B74" s="583" t="s">
        <v>911</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912</v>
      </c>
      <c r="B75" s="583" t="s">
        <v>913</v>
      </c>
      <c r="C75" s="2705"/>
      <c r="D75" s="583" t="s">
        <v>124</v>
      </c>
      <c r="E75" s="2706" t="s">
        <v>914</v>
      </c>
      <c r="F75" s="2707"/>
      <c r="G75" s="2706" t="s">
        <v>915</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916</v>
      </c>
      <c r="B76" s="2709" t="s">
        <v>917</v>
      </c>
      <c r="C76" s="583">
        <f>IF(F75="购房发票",ROUND(C75*H75*D76,0),0)</f>
        <v>0</v>
      </c>
      <c r="D76" s="2710">
        <v>0.05</v>
      </c>
      <c r="E76" s="2139" t="s">
        <v>918</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919</v>
      </c>
      <c r="B77" s="583" t="s">
        <v>920</v>
      </c>
      <c r="C77" s="583">
        <f>ROUND(IF(G77="个人住宅",0,IF(G77="2016年5月1日前购买",C75*D77,C75*D77/(1+'数据-取费表'!C42))),0)</f>
        <v>0</v>
      </c>
      <c r="D77" s="2712">
        <f>'数据-取费表'!B48+'数据-取费表'!B49</f>
        <v>0</v>
      </c>
      <c r="E77" s="2262" t="s">
        <v>921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893</v>
      </c>
      <c r="B78" s="583" t="s">
        <v>922</v>
      </c>
      <c r="C78" s="2715">
        <f ca="1">ROUND(D45*D78/(1+'数据-取费表'!C42),0)</f>
        <v>0</v>
      </c>
      <c r="D78" s="2716">
        <f>'数据-取费表'!B43</f>
        <v>0</v>
      </c>
      <c r="E78" s="2717" t="s">
        <v>923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901</v>
      </c>
      <c r="B79" s="2687" t="s">
        <v>924</v>
      </c>
      <c r="C79" s="2690">
        <f ca="1">C72-C73</f>
        <v>0</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904</v>
      </c>
      <c r="B80" s="2687" t="s">
        <v>925</v>
      </c>
      <c r="C80" s="2720">
        <f ca="1">IF(C79&lt;=0,0,C79/C73)</f>
        <v>0</v>
      </c>
      <c r="D80" s="583" t="s">
        <v>124</v>
      </c>
      <c r="E80" s="2262" t="str">
        <f ca="1">IF(C80&gt;=200%,"增值额超过扣除项目金额200%",IF(C80&gt;=100%,"增值额超过扣除项目金额100%，未超过200%",IF(C80&gt;=50%,"增值额超过扣除项目金额50%，未超过100%",IF(C80&lt;50%,"增值额未超过扣除项目金额50%"))))</f>
        <v>增值额未超过扣除项目金额50%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926</v>
      </c>
      <c r="B81" s="2692" t="s">
        <v>927</v>
      </c>
      <c r="C81" s="2721">
        <f ca="1">ROUND(IF(C79&lt;=0,0,IF(C80&gt;=200%,C79*60%-C73*35%,IF(C80&gt;=100%,C79*50%-C73*15%,IF(C80&gt;=50%,C79*40%-C73*5%,IF(C80&lt;50%,C79*30%,0))))),0)</f>
        <v>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928</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883</v>
      </c>
      <c r="B84" s="600"/>
      <c r="C84" s="600"/>
      <c r="D84" s="600" t="s">
        <v>884</v>
      </c>
      <c r="E84" s="2701" t="s">
        <v>838</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885</v>
      </c>
      <c r="B85" s="2687" t="s">
        <v>909</v>
      </c>
      <c r="C85" s="2690">
        <f ca="1">ROUND(D45/(1+'数据-取费表'!C42),0)</f>
        <v>0</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896</v>
      </c>
      <c r="B86" s="2601" t="s">
        <v>910</v>
      </c>
      <c r="C86" s="2690">
        <f ca="1">IF(H88="仅含出让金",C87+C90+C91+C92+C93+C94,C87+C91+C92+C93+C94)</f>
        <v>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889</v>
      </c>
      <c r="B87" s="583" t="s">
        <v>929</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912</v>
      </c>
      <c r="B88" s="583" t="s">
        <v>930</v>
      </c>
      <c r="C88" s="2732"/>
      <c r="D88" s="2716"/>
      <c r="E88" s="2733" t="s">
        <v>931</v>
      </c>
      <c r="F88" s="2718"/>
      <c r="G88" s="2734" t="s">
        <v>932</v>
      </c>
      <c r="H88" s="2735"/>
      <c r="I88" s="877"/>
      <c r="J88" s="2802" t="s">
        <v>933</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916</v>
      </c>
      <c r="B89" s="583" t="s">
        <v>920</v>
      </c>
      <c r="C89" s="2715">
        <f>ROUND(C88*D89,0)</f>
        <v>0</v>
      </c>
      <c r="D89" s="2716">
        <f>'数据-取费表'!B48+'数据-取费表'!B49</f>
        <v>0</v>
      </c>
      <c r="E89" s="2733" t="s">
        <v>934</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893</v>
      </c>
      <c r="B90" s="583" t="s">
        <v>935</v>
      </c>
      <c r="C90" s="2732"/>
      <c r="D90" s="2716"/>
      <c r="E90" s="2733" t="str">
        <f>IF(H88="-","土地取得成本中已包含该笔费用"," ")</f>
        <v> </v>
      </c>
      <c r="F90" s="2718"/>
      <c r="G90" s="2736" t="s">
        <v>936</v>
      </c>
      <c r="H90" s="2737"/>
      <c r="I90" s="877"/>
      <c r="J90" s="2802" t="s">
        <v>937</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938</v>
      </c>
      <c r="B91" s="583" t="s">
        <v>939</v>
      </c>
      <c r="C91" s="2715">
        <f ca="1">IF(H91="——",成本法!C33,I91)</f>
        <v>0</v>
      </c>
      <c r="D91" s="2716"/>
      <c r="E91" s="2717" t="s">
        <v>940</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941</v>
      </c>
      <c r="B92" s="583" t="s">
        <v>942</v>
      </c>
      <c r="C92" s="2715">
        <f ca="1">ROUND((C87+C90+C91)*D92,0)</f>
        <v>0</v>
      </c>
      <c r="D92" s="2739"/>
      <c r="E92" s="2717" t="s">
        <v>943</v>
      </c>
      <c r="F92" s="2718"/>
      <c r="G92" s="2718"/>
      <c r="H92" s="2719"/>
      <c r="I92" s="877"/>
      <c r="J92" s="2804" t="s">
        <v>944</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945</v>
      </c>
      <c r="B93" s="583" t="s">
        <v>922</v>
      </c>
      <c r="C93" s="2715">
        <f ca="1">ROUND(D45*D93/(1+'数据-取费表'!C42),0)</f>
        <v>0</v>
      </c>
      <c r="D93" s="2716">
        <f>'数据-取费表'!B43</f>
        <v>0</v>
      </c>
      <c r="E93" s="2717" t="s">
        <v>923</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946</v>
      </c>
      <c r="B94" s="583" t="s">
        <v>947</v>
      </c>
      <c r="C94" s="2732">
        <f ca="1">ROUND((C87+C90+C91)*D94,0)</f>
        <v>0</v>
      </c>
      <c r="D94" s="2716">
        <v>0.2</v>
      </c>
      <c r="E94" s="2740" t="s">
        <v>948</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901</v>
      </c>
      <c r="B95" s="2687" t="s">
        <v>924</v>
      </c>
      <c r="C95" s="2690">
        <f ca="1">ROUND(C85-C86,0)</f>
        <v>0</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904</v>
      </c>
      <c r="B96" s="2687" t="s">
        <v>925</v>
      </c>
      <c r="C96" s="2720">
        <f ca="1">IF(C95&lt;=0,0,C95/C86)</f>
        <v>0</v>
      </c>
      <c r="D96" s="583" t="s">
        <v>124</v>
      </c>
      <c r="E96" s="2262" t="str">
        <f ca="1">IF(C96&gt;=200%,"增值额超过扣除项目金额200%",IF(C96&gt;=100%,"增值额超过扣除项目金额100%，未超过200%",IF(C96&gt;=50%,"增值额超过扣除项目金额50%，未超过100%",IF(C96&lt;50%,"增值额未超过扣除项目金额50%"))))</f>
        <v>增值额未超过扣除项目金额50%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926</v>
      </c>
      <c r="B97" s="2692" t="s">
        <v>927</v>
      </c>
      <c r="C97" s="2721">
        <f ca="1">ROUND(IF(C95&lt;=0,0,IF(C96&gt;=200%,C95*60%-C86*35%,IF(C96&gt;=100%,C95*50%-C86*15%,IF(C96&gt;=50%,C95*40%-C86*5%,IF(C96&lt;50%,C95*30%,0))))),0)</f>
        <v>0</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949</v>
      </c>
      <c r="B99" s="2483"/>
      <c r="C99" s="2483"/>
      <c r="D99" s="2483"/>
      <c r="E99" s="2634"/>
      <c r="F99" s="2634"/>
      <c r="G99" s="2634"/>
      <c r="H99" s="2582"/>
      <c r="I99" s="1036"/>
    </row>
    <row r="100" ht="18.75" customHeight="1" spans="1:9">
      <c r="A100" s="2744" t="s">
        <v>950</v>
      </c>
      <c r="B100" s="2745"/>
      <c r="C100" s="2745"/>
      <c r="D100" s="2746"/>
      <c r="E100" s="2745" t="s">
        <v>951</v>
      </c>
      <c r="F100" s="2745"/>
      <c r="G100" s="2745"/>
      <c r="H100" s="2746"/>
      <c r="I100" s="1036"/>
    </row>
    <row r="101" ht="18.75" customHeight="1" spans="1:9">
      <c r="A101" s="2747" t="s">
        <v>952</v>
      </c>
      <c r="B101" s="2748"/>
      <c r="C101" s="2749" t="str">
        <f>C4</f>
        <v>典型户型修正</v>
      </c>
      <c r="D101" s="2750" t="str">
        <f>D4</f>
        <v>典型户型修正</v>
      </c>
      <c r="E101" s="2751" t="s">
        <v>953</v>
      </c>
      <c r="F101" s="2752"/>
      <c r="G101" s="2753" t="s">
        <v>954</v>
      </c>
      <c r="H101" s="2754">
        <f ca="1">H118</f>
        <v>0</v>
      </c>
      <c r="I101" s="1036"/>
    </row>
    <row r="102" ht="18.75" customHeight="1" spans="1:9">
      <c r="A102" s="2755" t="s">
        <v>955</v>
      </c>
      <c r="B102" s="2756" t="s">
        <v>954</v>
      </c>
      <c r="C102" s="2749">
        <f ca="1">IF(D32="楼面单价",ROUND(C19,0),C19)</f>
        <v>109</v>
      </c>
      <c r="D102" s="2750">
        <f ca="1">IF(D32="楼面单价",ROUND(D19,0),D19)</f>
        <v>109</v>
      </c>
      <c r="E102" s="2751"/>
      <c r="F102" s="2752"/>
      <c r="G102" s="2753" t="s">
        <v>99</v>
      </c>
      <c r="H102" s="2620">
        <f ca="1">I118</f>
        <v>17000</v>
      </c>
      <c r="I102" s="1036"/>
    </row>
    <row r="103" ht="42.75" customHeight="1" spans="1:9">
      <c r="A103" s="2755"/>
      <c r="B103" s="2756" t="s">
        <v>99</v>
      </c>
      <c r="C103" s="2757">
        <f>C20</f>
        <v>17000</v>
      </c>
      <c r="D103" s="2758">
        <f>D20</f>
        <v>17000</v>
      </c>
      <c r="E103" s="2759" t="s">
        <v>956</v>
      </c>
      <c r="F103" s="2760"/>
      <c r="G103" s="2761" t="s">
        <v>102</v>
      </c>
      <c r="H103" s="2754">
        <f>IF(D36="正常操作",H104+H105+H106,H105+H106)</f>
        <v>0</v>
      </c>
      <c r="I103" s="1036"/>
    </row>
    <row r="104" ht="18.75" customHeight="1" spans="1:9">
      <c r="A104" s="2755" t="s">
        <v>957</v>
      </c>
      <c r="B104" s="2762" t="s">
        <v>954</v>
      </c>
      <c r="C104" s="2763">
        <f ca="1">H118</f>
        <v>0</v>
      </c>
      <c r="D104" s="2764"/>
      <c r="E104" s="2566" t="s">
        <v>958</v>
      </c>
      <c r="F104" s="2765"/>
      <c r="G104" s="2761" t="s">
        <v>102</v>
      </c>
      <c r="H104" s="2766">
        <f>IF(D36="同一抵押权人同一抵押物续贷",C36&amp;"（续贷，未扣减，详见特别提示）",C36)</f>
        <v>0</v>
      </c>
      <c r="I104" s="1036"/>
    </row>
    <row r="105" ht="18.75" customHeight="1" spans="1:9">
      <c r="A105" s="2767"/>
      <c r="B105" s="2768" t="s">
        <v>99</v>
      </c>
      <c r="C105" s="2769">
        <f ca="1">I118</f>
        <v>17000</v>
      </c>
      <c r="D105" s="2770"/>
      <c r="E105" s="2566" t="s">
        <v>959</v>
      </c>
      <c r="F105" s="2765"/>
      <c r="G105" s="2761" t="s">
        <v>102</v>
      </c>
      <c r="H105" s="2771">
        <f>C37</f>
        <v>0</v>
      </c>
      <c r="I105" s="1036"/>
    </row>
    <row r="106" ht="18.75" customHeight="1" spans="1:9">
      <c r="A106" s="2483" t="s">
        <v>960</v>
      </c>
      <c r="B106" s="2483"/>
      <c r="C106" s="2483"/>
      <c r="D106" s="2483"/>
      <c r="E106" s="2772" t="s">
        <v>961</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954</v>
      </c>
      <c r="H107" s="2754">
        <f ca="1">IF(E107="——","——",H101-H103)</f>
        <v>0</v>
      </c>
      <c r="I107" s="1036"/>
    </row>
    <row r="108" ht="18.75" customHeight="1" spans="1:9">
      <c r="A108" s="1036"/>
      <c r="B108" s="1036"/>
      <c r="C108" s="1036"/>
      <c r="D108" s="1036"/>
      <c r="E108" s="2773"/>
      <c r="F108" s="2752"/>
      <c r="G108" s="2753" t="s">
        <v>99</v>
      </c>
      <c r="H108" s="2620">
        <f ca="1">IF(H107=H101,H102,ROUND(H107*10000/'数据-汇总表'!E3,0))</f>
        <v>17000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954</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954</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960</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962</v>
      </c>
      <c r="B115" s="2783"/>
      <c r="C115" s="2783"/>
      <c r="D115" s="2783"/>
      <c r="E115" s="2783"/>
      <c r="F115" s="2783"/>
      <c r="G115" s="2783"/>
      <c r="H115" s="2783"/>
      <c r="I115" s="2805"/>
    </row>
    <row r="116" ht="27" customHeight="1" spans="1:9">
      <c r="A116" s="2496" t="s">
        <v>963</v>
      </c>
      <c r="B116" s="2784" t="s">
        <v>964</v>
      </c>
      <c r="C116" s="2784" t="s">
        <v>965</v>
      </c>
      <c r="D116" s="2785" t="s">
        <v>966</v>
      </c>
      <c r="E116" s="2786"/>
      <c r="F116" s="2787" t="s">
        <v>967</v>
      </c>
      <c r="G116" s="2787"/>
      <c r="H116" s="2496" t="s">
        <v>968</v>
      </c>
      <c r="I116" s="2496"/>
    </row>
    <row r="117" ht="18.75" customHeight="1" spans="1:9">
      <c r="A117" s="2496"/>
      <c r="B117" s="2788"/>
      <c r="C117" s="2788"/>
      <c r="D117" s="2496" t="s">
        <v>969</v>
      </c>
      <c r="E117" s="2496" t="s">
        <v>795</v>
      </c>
      <c r="F117" s="2496" t="s">
        <v>969</v>
      </c>
      <c r="G117" s="2496" t="s">
        <v>795</v>
      </c>
      <c r="H117" s="2496" t="s">
        <v>969</v>
      </c>
      <c r="I117" s="2496" t="s">
        <v>795</v>
      </c>
    </row>
    <row r="118" ht="24.75" customHeight="1" spans="1:9">
      <c r="A118" s="2789" t="str">
        <f>项目基本情况!S2</f>
        <v>房地产</v>
      </c>
      <c r="B118" s="2496">
        <f>M18</f>
        <v>0</v>
      </c>
      <c r="C118" s="2496" t="e">
        <f>M19</f>
        <v>#DIV/0!</v>
      </c>
      <c r="D118" s="2496">
        <f ca="1">ROUND(IF(D32="总价",C34,E118*B118/10000),0)</f>
        <v>0</v>
      </c>
      <c r="E118" s="2496">
        <f ca="1">ROUND(IF(C33="自定义",IF(D32="楼面单价",C34,D118*10000/B118),I118-G118),0)</f>
        <v>0</v>
      </c>
      <c r="F118" s="2496">
        <f ca="1">ROUND(IF(D32="总价",C35,G118*B118/10000),0)</f>
        <v>0</v>
      </c>
      <c r="G118" s="2496">
        <f ca="1">ROUND(IF(D32="楼面单价",C35,F118*10000/B118),0)</f>
        <v>0</v>
      </c>
      <c r="H118" s="2496">
        <f ca="1">ROUND(IF(D32="总价",C32,I118*B118/10000),0)</f>
        <v>0</v>
      </c>
      <c r="I118" s="2496">
        <f ca="1">ROUND(IF(D32="楼面单价",C32,H118*10000/B118),0)</f>
        <v>17000</v>
      </c>
    </row>
    <row r="119" ht="18.75" customHeight="1" spans="1:9">
      <c r="A119" s="2496" t="s">
        <v>970</v>
      </c>
      <c r="B119" s="2496"/>
      <c r="C119" s="2496"/>
      <c r="D119" s="2790" t="str">
        <f ca="1">NUMBERSTRING(INT(D118*10000),2)&amp;"元整"</f>
        <v>零元整</v>
      </c>
      <c r="E119" s="2791"/>
      <c r="F119" s="2790" t="str">
        <f ca="1">NUMBERSTRING(INT(F118*10000),2)&amp;"元整"</f>
        <v>零元整</v>
      </c>
      <c r="G119" s="2791"/>
      <c r="H119" s="2790" t="str">
        <f ca="1">NUMBERSTRING(INT(H118*10000),2)&amp;"元整"</f>
        <v>零元整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970</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0</v>
      </c>
      <c r="E122" s="2793"/>
      <c r="F122" s="2793"/>
      <c r="G122" s="2793"/>
      <c r="H122" s="2793"/>
      <c r="I122" s="2794"/>
      <c r="AA122" s="992"/>
    </row>
    <row r="123" ht="18.75" customHeight="1" spans="1:27">
      <c r="A123" s="2496" t="s">
        <v>970</v>
      </c>
      <c r="B123" s="2496"/>
      <c r="C123" s="2496"/>
      <c r="D123" s="2790" t="str">
        <f ca="1">NUMBERSTRING(INT(D122*10000),2)&amp;"元整"</f>
        <v>零元整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970</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970</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971</v>
      </c>
      <c r="B129" s="2808"/>
      <c r="C129" s="2809" t="s">
        <v>972</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973</v>
      </c>
      <c r="G135" s="2821"/>
      <c r="H135" s="2821"/>
      <c r="I135" s="2829" t="s">
        <v>974</v>
      </c>
    </row>
    <row r="136" customHeight="1" spans="1:9">
      <c r="A136" s="992"/>
      <c r="B136" s="2822" t="s">
        <v>975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976</v>
      </c>
    </row>
    <row r="139" customHeight="1" spans="1:9">
      <c r="A139" s="992"/>
      <c r="B139" s="2822" t="s">
        <v>977</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976</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978</v>
      </c>
      <c r="B1" s="2462"/>
      <c r="C1" s="391"/>
      <c r="D1" s="391"/>
      <c r="E1" s="391"/>
      <c r="F1" s="391"/>
      <c r="G1" s="2464">
        <f>MATCH(B1,'数据-取费表'!A6:A16,0)+5</f>
        <v>6</v>
      </c>
    </row>
    <row r="2" s="381" customFormat="1" ht="18" customHeight="1" spans="1:7">
      <c r="A2" s="393" t="s">
        <v>979</v>
      </c>
      <c r="B2" s="394" t="e">
        <f ca="1">IF(D2="——",C52,C52-E2)</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IF(G8="已包含在土地购买价格中","0",IF(B1="",'数据-取费表'!B29,IF(G9="全部缴纳",C9+C10,H9)))</f>
        <v>0</v>
      </c>
      <c r="D8" s="414"/>
      <c r="E8" s="412"/>
      <c r="F8" s="413"/>
      <c r="G8" s="2470"/>
    </row>
    <row r="9" s="383" customFormat="1" ht="13.5" customHeight="1" spans="1:9">
      <c r="A9" s="416" t="s">
        <v>994</v>
      </c>
      <c r="B9" s="417" t="s">
        <v>995</v>
      </c>
      <c r="C9" s="418">
        <f ca="1">ROUND(D9*E9/10000,0)</f>
        <v>0</v>
      </c>
      <c r="D9" s="419">
        <f ca="1">IF(B1="",'数据-汇总表'!E5,IF(INDIRECT("'数据-取费表'!c"&amp;$G$1)="住宅",INDIRECT("'数据-取费表'!k"&amp;$G$1),0))</f>
        <v>0</v>
      </c>
      <c r="E9" s="418">
        <f>'数据-取费表'!B27</f>
        <v>0</v>
      </c>
      <c r="F9" s="413"/>
      <c r="G9" s="2474"/>
      <c r="H9" s="2475"/>
      <c r="I9" s="2476" t="s">
        <v>996</v>
      </c>
    </row>
    <row r="10" s="383" customFormat="1" ht="13.5" customHeight="1" spans="1:7">
      <c r="A10" s="416" t="s">
        <v>997</v>
      </c>
      <c r="B10" s="417" t="s">
        <v>998</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IF(G19="已包含在土地取得成本中","0",ROUND(D19*E19/10000,0))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435">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438">
        <f ca="1">ROUND(IF('数据-取费表'!B22&lt;=1,C5*F22*'数据-取费表'!B23,C5*(POWER((1+F22),'数据-取费表'!B23)-1)),0)</f>
        <v>0</v>
      </c>
      <c r="D23" s="439"/>
      <c r="E23" s="439"/>
      <c r="F23" s="440"/>
      <c r="G23" s="441" t="s">
        <v>1027</v>
      </c>
    </row>
    <row r="24" s="383" customFormat="1" ht="13.5" customHeight="1" spans="1:7">
      <c r="A24" s="437" t="s">
        <v>990</v>
      </c>
      <c r="B24" s="407" t="s">
        <v>1028</v>
      </c>
      <c r="C24" s="438">
        <f ca="1">ROUND(IF('数据-取费表'!B22&lt;=1,C19*F22*('数据-取费表'!B19/2+'数据-取费表'!B21),C19*(POWER((1+F22),('数据-取费表'!B19/2+'数据-取费表'!B21))-1)),0)</f>
        <v>0</v>
      </c>
      <c r="D24" s="439"/>
      <c r="E24" s="439"/>
      <c r="F24" s="440"/>
      <c r="G24" s="441" t="s">
        <v>1029</v>
      </c>
    </row>
    <row r="25" s="383" customFormat="1" ht="26" spans="1:7">
      <c r="A25" s="437" t="s">
        <v>992</v>
      </c>
      <c r="B25" s="407" t="s">
        <v>1030</v>
      </c>
      <c r="C25" s="438">
        <f ca="1">ROUND(IF('数据-取费表'!B22&lt;=1,C20*F22*'数据-取费表'!B23/2,C20*(POWER((1+F22),'数据-取费表'!B23/2)-1)),0)</f>
        <v>0</v>
      </c>
      <c r="D25" s="439"/>
      <c r="E25" s="442"/>
      <c r="F25" s="440"/>
      <c r="G25" s="443" t="s">
        <v>1031</v>
      </c>
    </row>
    <row r="26" s="383" customFormat="1" ht="13" spans="1:7">
      <c r="A26" s="437" t="s">
        <v>1032</v>
      </c>
      <c r="B26" s="407" t="s">
        <v>1033</v>
      </c>
      <c r="C26" s="439">
        <f ca="1">ROUND(IF('数据-取费表'!B22&lt;=1,F21*F22*'数据-取费表'!B23/2,F21*(POWER((1+F22),'数据-取费表'!B23/2)-1)),4)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ROUND((C5+C19+C20)*F27*'数据-取费表'!B21/'数据-取费表'!B20,0)</f>
        <v>#DIV/0!</v>
      </c>
      <c r="D28" s="432"/>
      <c r="E28" s="433"/>
      <c r="F28" s="447"/>
      <c r="G28" s="448"/>
    </row>
    <row r="29" s="383" customFormat="1" ht="13.5" customHeight="1" spans="1:7">
      <c r="A29" s="437" t="s">
        <v>990</v>
      </c>
      <c r="B29" s="449" t="s">
        <v>1038</v>
      </c>
      <c r="C29" s="439" t="e">
        <f ca="1">ROUND(C21*F27*'数据-取费表'!B21/'数据-取费表'!B20,4)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1044</v>
      </c>
      <c r="B32" s="455"/>
      <c r="C32" s="455"/>
      <c r="D32" s="455"/>
      <c r="E32" s="455"/>
      <c r="F32" s="455"/>
      <c r="G32" s="456"/>
    </row>
    <row r="33" s="383" customFormat="1" ht="13.5" customHeight="1" spans="1:7">
      <c r="A33" s="401" t="s">
        <v>984</v>
      </c>
      <c r="B33" s="402" t="s">
        <v>1045</v>
      </c>
      <c r="C33" s="457">
        <f ca="1">SUM(C34:C38)</f>
        <v>0</v>
      </c>
      <c r="D33" s="429"/>
      <c r="E33" s="404"/>
      <c r="F33" s="442"/>
      <c r="G33" s="434"/>
    </row>
    <row r="34" s="385" customFormat="1" ht="13.5" customHeight="1" spans="1:7">
      <c r="A34" s="437" t="s">
        <v>988</v>
      </c>
      <c r="B34" s="407" t="s">
        <v>1046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1047</v>
      </c>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1051</v>
      </c>
    </row>
    <row r="37" s="385" customFormat="1" ht="13.5" customHeight="1" spans="1:7">
      <c r="A37" s="437" t="s">
        <v>1032</v>
      </c>
      <c r="B37" s="407" t="s">
        <v>1052</v>
      </c>
      <c r="C37" s="450">
        <f ca="1">ROUND(E37*D37*F34/10000,0)</f>
        <v>0</v>
      </c>
      <c r="D37" s="409">
        <f ca="1">D19</f>
        <v>0</v>
      </c>
      <c r="E37" s="450">
        <f>'数据-取费表'!B35</f>
        <v>0</v>
      </c>
      <c r="F37" s="459"/>
      <c r="G37" s="461" t="s">
        <v>1053</v>
      </c>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ROUND(IF('数据-取费表'!B22&lt;=1,C33*F22*'数据-取费表'!B21/2,C33*(POWER((1+F22),'数据-取费表'!B21/2)-1)),0)</f>
        <v>0</v>
      </c>
      <c r="D42" s="439"/>
      <c r="E42" s="439"/>
      <c r="F42" s="440"/>
      <c r="G42" s="463" t="s">
        <v>1058</v>
      </c>
    </row>
    <row r="43" ht="13.5" customHeight="1" spans="1:7">
      <c r="A43" s="437" t="s">
        <v>990</v>
      </c>
      <c r="B43" s="407" t="s">
        <v>1028</v>
      </c>
      <c r="C43" s="439">
        <f ca="1">ROUND(IF('数据-取费表'!B22&lt;=1,C39*F22*'数据-取费表'!B21/2,C39*(POWER((1+F22),'数据-取费表'!B21/2)-1)),0)</f>
        <v>0</v>
      </c>
      <c r="D43" s="439"/>
      <c r="E43" s="439"/>
      <c r="F43" s="440"/>
      <c r="G43" s="464"/>
    </row>
    <row r="44" ht="13.5" customHeight="1" spans="1:7">
      <c r="A44" s="437" t="s">
        <v>992</v>
      </c>
      <c r="B44" s="407" t="s">
        <v>1030</v>
      </c>
      <c r="C44" s="439">
        <f ca="1">ROUND(IF('数据-取费表'!B22&lt;=1,C40*F22*'数据-取费表'!B21/2,C40*(POWER((1+F22),'数据-取费表'!B21/2)-1)),4)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2473">
        <f>ROUND(F30/(1+'数据-取费表'!C42),4)</f>
        <v>0</v>
      </c>
      <c r="D48" s="433" t="s">
        <v>1056</v>
      </c>
      <c r="E48" s="429"/>
      <c r="F48" s="436">
        <f>F30</f>
        <v>0</v>
      </c>
      <c r="G48" s="434" t="s">
        <v>1062</v>
      </c>
    </row>
    <row r="49" ht="16.5" customHeight="1" spans="1:7">
      <c r="A49" s="401" t="s">
        <v>1039</v>
      </c>
      <c r="B49" s="402" t="s">
        <v>1063</v>
      </c>
      <c r="C49" s="429" t="e">
        <f ca="1">ROUND((C33+C39+C41+C45)/(1-C40-D41-D45-C48),0)</f>
        <v>#DIV/0!</v>
      </c>
      <c r="D49" s="429"/>
      <c r="E49" s="429"/>
      <c r="F49" s="467"/>
      <c r="G49" s="434" t="s">
        <v>1064</v>
      </c>
    </row>
    <row r="50" s="385" customFormat="1" ht="26" spans="1:7">
      <c r="A50" s="401" t="s">
        <v>1065</v>
      </c>
      <c r="B50" s="402" t="s">
        <v>1066</v>
      </c>
      <c r="C50" s="429"/>
      <c r="D50" s="429"/>
      <c r="E50" s="429"/>
      <c r="F50" s="467" t="e">
        <f>IF('数据-取费表'!B24=0,'数据-取费表'!N16,1)</f>
        <v>#DIV/0!</v>
      </c>
      <c r="G50" s="448" t="s">
        <v>1067</v>
      </c>
    </row>
    <row r="51" ht="16.5" customHeight="1" spans="1:7">
      <c r="A51" s="401" t="s">
        <v>1068</v>
      </c>
      <c r="B51" s="402" t="s">
        <v>1069</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3.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978</v>
      </c>
      <c r="B1" s="2462"/>
      <c r="C1" s="2463" t="s">
        <v>1075</v>
      </c>
      <c r="D1" s="391"/>
      <c r="E1" s="391"/>
      <c r="F1" s="391"/>
      <c r="G1" s="2464">
        <f>MATCH(B1,'数据-取费表'!A6:A16,0)+5</f>
        <v>6</v>
      </c>
      <c r="H1" s="1809" t="str">
        <f>IF(ISERROR(FIND("住宅",B1)),"非住宅","住宅")</f>
        <v>非住宅</v>
      </c>
    </row>
    <row r="2" s="381" customFormat="1" ht="18" customHeight="1" spans="1:7">
      <c r="A2" s="393" t="s">
        <v>979</v>
      </c>
      <c r="B2" s="2465" t="e">
        <f ca="1">ROUND(IF(D2="——",C52/10000,C52/10000-E2),4)</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IF(G8="已包含在土地购买价格中",0,C9+C10)</f>
        <v>0</v>
      </c>
      <c r="D8" s="414"/>
      <c r="E8" s="412"/>
      <c r="F8" s="413"/>
      <c r="G8" s="2470"/>
    </row>
    <row r="9" s="383" customFormat="1" ht="13.5" customHeight="1" spans="1:7">
      <c r="A9" s="416" t="s">
        <v>994</v>
      </c>
      <c r="B9" s="417" t="s">
        <v>995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997</v>
      </c>
      <c r="B10" s="417" t="s">
        <v>998</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2471">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2472">
        <f ca="1">ROUND(IF('数据-取费表'!B22&lt;=1,C5*F22*'数据-取费表'!B22,C5*(POWER((1+F22),'数据-取费表'!B22)-1)),0)</f>
        <v>0</v>
      </c>
      <c r="D23" s="439"/>
      <c r="E23" s="439"/>
      <c r="F23" s="440"/>
      <c r="G23" s="441" t="s">
        <v>1027</v>
      </c>
    </row>
    <row r="24" s="383" customFormat="1" ht="13.5" customHeight="1" spans="1:7">
      <c r="A24" s="437" t="s">
        <v>990</v>
      </c>
      <c r="B24" s="407" t="s">
        <v>1028</v>
      </c>
      <c r="C24" s="2472">
        <f ca="1">ROUND(IF('数据-取费表'!B22&lt;=1,C19*F22*('数据-取费表'!B19/2+'数据-取费表'!B20),C19*(POWER((1+F22),('数据-取费表'!B19/2+'数据-取费表'!B20))-1)),0)</f>
        <v>0</v>
      </c>
      <c r="D24" s="439"/>
      <c r="E24" s="439"/>
      <c r="F24" s="440"/>
      <c r="G24" s="441" t="s">
        <v>1029</v>
      </c>
    </row>
    <row r="25" s="383" customFormat="1" ht="26" spans="1:7">
      <c r="A25" s="437" t="s">
        <v>992</v>
      </c>
      <c r="B25" s="407" t="s">
        <v>1030</v>
      </c>
      <c r="C25" s="2472">
        <f ca="1">ROUND(IF('数据-取费表'!B22&lt;=1,C20*F22*'数据-取费表'!B22/2,C20*(POWER((1+F22),'数据-取费表'!B22/2)-1)),0)</f>
        <v>0</v>
      </c>
      <c r="D25" s="439"/>
      <c r="E25" s="442"/>
      <c r="F25" s="440"/>
      <c r="G25" s="443" t="s">
        <v>1031</v>
      </c>
    </row>
    <row r="26" s="383" customFormat="1" ht="13" spans="1:7">
      <c r="A26" s="437" t="s">
        <v>1032</v>
      </c>
      <c r="B26" s="407" t="s">
        <v>1033</v>
      </c>
      <c r="C26" s="439">
        <f ca="1">ROUND(IF('数据-取费表'!B22&lt;=1,F21*F22*'数据-取费表'!B22/2,F21*(POWER((1+F22),'数据-取费表'!B22/2)-1)),4)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ROUND((C5+C19+C20)*F27,0)</f>
        <v>#DIV/0!</v>
      </c>
      <c r="D28" s="432"/>
      <c r="E28" s="433"/>
      <c r="F28" s="447"/>
      <c r="G28" s="448"/>
    </row>
    <row r="29" s="383" customFormat="1" ht="13.5" customHeight="1" spans="1:7">
      <c r="A29" s="437" t="s">
        <v>990</v>
      </c>
      <c r="B29" s="449" t="s">
        <v>1038</v>
      </c>
      <c r="C29" s="439" t="e">
        <f ca="1">ROUND(C21*F27,4)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1076</v>
      </c>
      <c r="B32" s="455"/>
      <c r="C32" s="455"/>
      <c r="D32" s="455"/>
      <c r="E32" s="455"/>
      <c r="F32" s="455"/>
      <c r="G32" s="456"/>
    </row>
    <row r="33" s="383" customFormat="1" ht="13.5" customHeight="1" spans="1:7">
      <c r="A33" s="401" t="s">
        <v>984</v>
      </c>
      <c r="B33" s="402" t="s">
        <v>1077</v>
      </c>
      <c r="C33" s="457">
        <f ca="1">SUM(C34:C38)</f>
        <v>0</v>
      </c>
      <c r="D33" s="429"/>
      <c r="E33" s="404"/>
      <c r="F33" s="442"/>
      <c r="G33" s="434"/>
    </row>
    <row r="34" s="385" customFormat="1" ht="13.5" customHeight="1" spans="1:7">
      <c r="A34" s="437" t="s">
        <v>988</v>
      </c>
      <c r="B34" s="407" t="s">
        <v>1046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ROUND(IF(B1="",SUM('数据-取费表'!AP6:AP13)*F36,IF(INDIRECT("'数据-取费表'!c"&amp;$G$1)="住宅",INDIRECT("'数据-取费表'!k"&amp;$G$1)*INDIRECT("'数据-取费表'!l"&amp;$G$1)*F36,0)),0)</f>
        <v>0</v>
      </c>
      <c r="D36" s="412"/>
      <c r="E36" s="412"/>
      <c r="F36" s="459">
        <f>'数据-取费表'!B34</f>
        <v>0</v>
      </c>
      <c r="G36" s="460" t="s">
        <v>1051</v>
      </c>
    </row>
    <row r="37" s="385" customFormat="1" ht="13.5" customHeight="1" spans="1:7">
      <c r="A37" s="437" t="s">
        <v>1032</v>
      </c>
      <c r="B37" s="407" t="s">
        <v>1052</v>
      </c>
      <c r="C37" s="450">
        <f ca="1">ROUND(E37*D37,0)</f>
        <v>0</v>
      </c>
      <c r="D37" s="409">
        <f ca="1">D19</f>
        <v>0</v>
      </c>
      <c r="E37" s="450">
        <f>'数据-取费表'!B35</f>
        <v>0</v>
      </c>
      <c r="F37" s="459"/>
      <c r="G37" s="461"/>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ROUND(IF('数据-取费表'!B22&lt;=1,C33*F22*'数据-取费表'!B20/2,C33*(POWER((1+F22),'数据-取费表'!B20/2)-1)),0)</f>
        <v>0</v>
      </c>
      <c r="D42" s="439"/>
      <c r="E42" s="439"/>
      <c r="F42" s="440"/>
      <c r="G42" s="463" t="s">
        <v>1078</v>
      </c>
    </row>
    <row r="43" ht="13.5" customHeight="1" spans="1:7">
      <c r="A43" s="437" t="s">
        <v>990</v>
      </c>
      <c r="B43" s="407" t="s">
        <v>1028</v>
      </c>
      <c r="C43" s="439">
        <f ca="1">ROUND(IF('数据-取费表'!B22&lt;=1,C39*F22*'数据-取费表'!B20/2,C39*(POWER((1+F22),'数据-取费表'!B20/2)-1)),0)</f>
        <v>0</v>
      </c>
      <c r="D43" s="439"/>
      <c r="E43" s="439"/>
      <c r="F43" s="440"/>
      <c r="G43" s="464"/>
    </row>
    <row r="44" ht="13.5" customHeight="1" spans="1:7">
      <c r="A44" s="437" t="s">
        <v>992</v>
      </c>
      <c r="B44" s="407" t="s">
        <v>1030</v>
      </c>
      <c r="C44" s="439">
        <f ca="1">ROUND(IF('数据-取费表'!B22&lt;=1,C40*F22*'数据-取费表'!B20/2,C40*(POWER((1+F22),'数据-取费表'!B20/2)-1)),4)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462">
        <f>ROUND(F30/(1+'数据-取费表'!C42),4)</f>
        <v>0</v>
      </c>
      <c r="D48" s="433" t="s">
        <v>1056</v>
      </c>
      <c r="E48" s="429"/>
      <c r="F48" s="436">
        <f>F30</f>
        <v>0</v>
      </c>
      <c r="G48" s="434" t="s">
        <v>1062</v>
      </c>
    </row>
    <row r="49" ht="16.5" customHeight="1" spans="1:7">
      <c r="A49" s="401" t="s">
        <v>1039</v>
      </c>
      <c r="B49" s="402" t="s">
        <v>1079</v>
      </c>
      <c r="C49" s="429" t="e">
        <f ca="1">ROUND((C33+C39+C41+C45)/(1-C40-D41-D45-C48),0)</f>
        <v>#DIV/0!</v>
      </c>
      <c r="D49" s="429"/>
      <c r="E49" s="429"/>
      <c r="F49" s="467"/>
      <c r="G49" s="434" t="s">
        <v>1064</v>
      </c>
    </row>
    <row r="50" s="385" customFormat="1" ht="13" spans="1:7">
      <c r="A50" s="401" t="s">
        <v>1065</v>
      </c>
      <c r="B50" s="402" t="s">
        <v>1066</v>
      </c>
      <c r="C50" s="429"/>
      <c r="D50" s="429"/>
      <c r="E50" s="429"/>
      <c r="F50" s="467" t="e">
        <f>IF('数据-取费表'!B24=0,'数据-取费表'!N16,1)</f>
        <v>#DIV/0!</v>
      </c>
      <c r="G50" s="448"/>
    </row>
    <row r="51" ht="16.5" customHeight="1" spans="1:7">
      <c r="A51" s="401" t="s">
        <v>1068</v>
      </c>
      <c r="B51" s="402" t="s">
        <v>1080</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1081</v>
      </c>
      <c r="B1" s="2185"/>
      <c r="C1" s="2378"/>
      <c r="D1" s="2379"/>
      <c r="E1" s="2380"/>
      <c r="F1" s="2380"/>
      <c r="G1" s="2381"/>
      <c r="H1" s="2380"/>
      <c r="I1" s="2380"/>
      <c r="J1" s="2380"/>
      <c r="K1" s="2449">
        <f>MATCH(C1,'数据-取费表'!A6:A16,0)+5</f>
        <v>6</v>
      </c>
    </row>
    <row r="2" ht="18" customHeight="1" spans="1:11">
      <c r="A2" s="393" t="s">
        <v>979</v>
      </c>
      <c r="B2" s="397" t="e">
        <f ca="1">C32</f>
        <v>#DIV/0!</v>
      </c>
      <c r="C2" s="2382" t="s">
        <v>1082</v>
      </c>
      <c r="D2" s="2382"/>
      <c r="E2" s="2380"/>
      <c r="F2" s="2380"/>
      <c r="G2" s="2380"/>
      <c r="H2" s="2380"/>
      <c r="I2" s="2380"/>
      <c r="J2" s="2380"/>
      <c r="K2" s="2380"/>
    </row>
    <row r="3" ht="18" customHeight="1" spans="1:11">
      <c r="A3" s="396" t="s">
        <v>981</v>
      </c>
      <c r="B3" s="397" t="e">
        <f ca="1">ROUND(B2*10000/IF(C1="",'数据-汇总表'!E3,INDIRECT("'数据-取费表'!K"&amp;$K$1)),0)</f>
        <v>#DIV/0!</v>
      </c>
      <c r="C3" s="2382" t="s">
        <v>1083</v>
      </c>
      <c r="D3" s="2382"/>
      <c r="E3" s="2380"/>
      <c r="F3" s="2380"/>
      <c r="G3" s="2380"/>
      <c r="H3" s="2380"/>
      <c r="I3" s="2380"/>
      <c r="J3" s="2380"/>
      <c r="K3" s="2380"/>
    </row>
    <row r="4" s="2367" customFormat="1" ht="16.5" customHeight="1" spans="1:11">
      <c r="A4" s="2383" t="s">
        <v>1084</v>
      </c>
      <c r="B4" s="2384"/>
      <c r="C4" s="2385">
        <f>SUM(C8:K8)</f>
        <v>0</v>
      </c>
      <c r="D4" s="2384"/>
      <c r="E4" s="2384"/>
      <c r="F4" s="2384"/>
      <c r="G4" s="2384"/>
      <c r="H4" s="2384"/>
      <c r="I4" s="2384"/>
      <c r="J4" s="2384"/>
      <c r="K4" s="2450"/>
    </row>
    <row r="5" s="2368" customFormat="1" ht="14" spans="1:33">
      <c r="A5" s="2386" t="s">
        <v>1085</v>
      </c>
      <c r="B5" s="2387" t="s">
        <v>1086</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889</v>
      </c>
      <c r="B6" s="2148" t="s">
        <v>1087</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893</v>
      </c>
      <c r="B7" s="2148" t="s">
        <v>454</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938</v>
      </c>
      <c r="B8" s="2393" t="s">
        <v>1088</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1089</v>
      </c>
      <c r="B9" s="2384"/>
      <c r="C9" s="2384"/>
      <c r="D9" s="2384"/>
      <c r="E9" s="2384"/>
      <c r="F9" s="2384"/>
      <c r="G9" s="2384"/>
      <c r="H9" s="2384"/>
      <c r="I9" s="2384"/>
      <c r="J9" s="2384"/>
      <c r="K9" s="2450"/>
    </row>
    <row r="10" s="2370" customFormat="1" ht="13.5" customHeight="1" spans="1:11">
      <c r="A10" s="2386" t="s">
        <v>1085</v>
      </c>
      <c r="B10" s="2396" t="s">
        <v>1086</v>
      </c>
      <c r="C10" s="2397" t="s">
        <v>1090</v>
      </c>
      <c r="D10" s="2398" t="s">
        <v>1091</v>
      </c>
      <c r="E10" s="2398" t="s">
        <v>1092</v>
      </c>
      <c r="F10" s="2398" t="s">
        <v>1093</v>
      </c>
      <c r="G10" s="2396"/>
      <c r="H10" s="2399"/>
      <c r="I10" s="2399"/>
      <c r="J10" s="2399"/>
      <c r="K10" s="2456"/>
    </row>
    <row r="11" s="2371" customFormat="1" ht="13.5" customHeight="1" spans="1:11">
      <c r="A11" s="2400" t="s">
        <v>994</v>
      </c>
      <c r="B11" s="2401" t="s">
        <v>1094</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997</v>
      </c>
      <c r="B12" s="2401" t="s">
        <v>1095</v>
      </c>
      <c r="C12" s="1047">
        <f ca="1">ROUND(C11*F12,0)</f>
        <v>0</v>
      </c>
      <c r="D12" s="2403"/>
      <c r="E12" s="2151"/>
      <c r="F12" s="2404">
        <f>'数据-取费表'!B33</f>
        <v>0</v>
      </c>
      <c r="G12" s="2396" t="s">
        <v>1096</v>
      </c>
      <c r="H12" s="2399"/>
      <c r="I12" s="2399"/>
      <c r="J12" s="2399"/>
      <c r="K12" s="2456"/>
    </row>
    <row r="13" s="2371" customFormat="1" ht="13.5" customHeight="1" spans="1:11">
      <c r="A13" s="2400" t="s">
        <v>1097</v>
      </c>
      <c r="B13" s="2401" t="s">
        <v>1098</v>
      </c>
      <c r="C13" s="1047">
        <f ca="1">ROUND(IF(C1="",SUMIF('数据-取费表'!C:C,"住宅",'数据-取费表'!P:P)*F13,IF(INDIRECT("'数据-取费表'!c"&amp;$K$1)="住宅",INDIRECT("'数据-取费表'!P"&amp;$K$1)*F13,0)),0)</f>
        <v>0</v>
      </c>
      <c r="D13" s="2405"/>
      <c r="E13" s="2151"/>
      <c r="F13" s="2404">
        <f>'数据-取费表'!B34</f>
        <v>0</v>
      </c>
      <c r="G13" s="2396" t="s">
        <v>1099</v>
      </c>
      <c r="H13" s="2399"/>
      <c r="I13" s="2399"/>
      <c r="J13" s="2399"/>
      <c r="K13" s="2456"/>
    </row>
    <row r="14" s="2372" customFormat="1" ht="13.5" customHeight="1" spans="1:33">
      <c r="A14" s="2400" t="s">
        <v>1100</v>
      </c>
      <c r="B14" s="2401" t="s">
        <v>1101</v>
      </c>
      <c r="C14" s="1047">
        <f ca="1">ROUND(D14*E14*F11/10000,0)</f>
        <v>0</v>
      </c>
      <c r="D14" s="2405">
        <f ca="1">IF(C1="",'数据-汇总表'!E3,INDIRECT("'数据-取费表'!K"&amp;$K$1)+INDIRECT("'数据-取费表'!S"&amp;$K$1))</f>
        <v>0</v>
      </c>
      <c r="E14" s="1047">
        <f>'数据-取费表'!B35</f>
        <v>0</v>
      </c>
      <c r="F14" s="2406"/>
      <c r="G14" s="2396" t="s">
        <v>1102</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1103</v>
      </c>
      <c r="B15" s="2401" t="s">
        <v>1104</v>
      </c>
      <c r="C15" s="2407">
        <f ca="1">ROUND(C11*F15,0)</f>
        <v>0</v>
      </c>
      <c r="D15" s="2408"/>
      <c r="E15" s="2407"/>
      <c r="F15" s="2404">
        <f>'数据-取费表'!B36</f>
        <v>0</v>
      </c>
      <c r="G15" s="2148" t="s">
        <v>1105</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912</v>
      </c>
      <c r="B16" s="2401" t="s">
        <v>1106</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916</v>
      </c>
      <c r="B17" s="2401" t="s">
        <v>1107</v>
      </c>
      <c r="C17" s="1047">
        <f ca="1">ROUND(D17*E17/10000,0)</f>
        <v>0</v>
      </c>
      <c r="D17" s="2405">
        <f ca="1">D14</f>
        <v>0</v>
      </c>
      <c r="E17" s="1047">
        <f>'数据-取费表'!B32</f>
        <v>0</v>
      </c>
      <c r="F17" s="2408"/>
      <c r="G17" s="2148" t="s">
        <v>1108</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1109</v>
      </c>
      <c r="B18" s="2401" t="s">
        <v>1110</v>
      </c>
      <c r="C18" s="1047">
        <f ca="1">C19+C20-IF(C1="",'数据-取费表'!B29,IF(G18="已全部缴纳",C19+C20,H18))</f>
        <v>0</v>
      </c>
      <c r="D18" s="2405"/>
      <c r="E18" s="1047"/>
      <c r="F18" s="2406"/>
      <c r="G18" s="2410"/>
      <c r="H18" s="2411"/>
      <c r="I18" s="2457" t="s">
        <v>1111</v>
      </c>
      <c r="J18" s="2263"/>
      <c r="K18" s="2264"/>
    </row>
    <row r="19" s="2371" customFormat="1" ht="13.5" customHeight="1" spans="1:11">
      <c r="A19" s="2400" t="s">
        <v>994</v>
      </c>
      <c r="B19" s="2401" t="s">
        <v>441</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997</v>
      </c>
      <c r="B20" s="2401" t="s">
        <v>1112</v>
      </c>
      <c r="C20" s="1047">
        <f ca="1">ROUND(D20*E20/10000,0)</f>
        <v>0</v>
      </c>
      <c r="D20" s="2405">
        <f ca="1">IF(C1="",'数据-汇总表'!E6,IF(INDIRECT("'数据-取费表'!c"&amp;$K$1)="住宅",INDIRECT("'数据-取费表'!s"&amp;$K$1),INDIRECT("'数据-取费表'!k"&amp;$K$1)+INDIRECT("'数据-取费表'!s"&amp;$K$1)))</f>
        <v>0</v>
      </c>
      <c r="E20" s="1047">
        <f>'数据-取费表'!B28</f>
        <v>0</v>
      </c>
      <c r="F20" s="2406"/>
      <c r="G20" s="2262"/>
      <c r="H20" s="2413"/>
      <c r="I20" s="2413"/>
      <c r="J20" s="2413"/>
      <c r="K20" s="2458"/>
    </row>
    <row r="21" s="2371" customFormat="1" ht="13.5" customHeight="1" spans="1:11">
      <c r="A21" s="2389" t="s">
        <v>889</v>
      </c>
      <c r="B21" s="2414" t="s">
        <v>1113</v>
      </c>
      <c r="C21" s="2415">
        <f ca="1">C16+C17+C18</f>
        <v>0</v>
      </c>
      <c r="D21" s="2416"/>
      <c r="E21" s="2417"/>
      <c r="F21" s="2417"/>
      <c r="G21" s="2148" t="s">
        <v>1114</v>
      </c>
      <c r="H21" s="2263"/>
      <c r="I21" s="2263"/>
      <c r="J21" s="2263"/>
      <c r="K21" s="2264"/>
    </row>
    <row r="22" s="2371" customFormat="1" ht="13.5" customHeight="1" spans="1:11">
      <c r="A22" s="2389" t="s">
        <v>893</v>
      </c>
      <c r="B22" s="2414" t="s">
        <v>1115</v>
      </c>
      <c r="C22" s="2415">
        <f ca="1">ROUND(C21*F22,0)</f>
        <v>0</v>
      </c>
      <c r="D22" s="2417"/>
      <c r="E22" s="2417"/>
      <c r="F22" s="2418">
        <f>'数据-取费表'!B37</f>
        <v>0</v>
      </c>
      <c r="G22" s="2396" t="s">
        <v>1116</v>
      </c>
      <c r="H22" s="2399"/>
      <c r="I22" s="2399"/>
      <c r="J22" s="2399"/>
      <c r="K22" s="2456"/>
    </row>
    <row r="23" s="2371" customFormat="1" ht="13.5" customHeight="1" spans="1:11">
      <c r="A23" s="2389" t="s">
        <v>938</v>
      </c>
      <c r="B23" s="2414" t="s">
        <v>1117</v>
      </c>
      <c r="C23" s="2415">
        <f ca="1">ROUND(C4*F23*F11,0)</f>
        <v>0</v>
      </c>
      <c r="D23" s="2417"/>
      <c r="E23" s="2417"/>
      <c r="F23" s="2418">
        <f>'数据-取费表'!B38</f>
        <v>0</v>
      </c>
      <c r="G23" s="2396" t="s">
        <v>1118</v>
      </c>
      <c r="H23" s="2399"/>
      <c r="I23" s="2399"/>
      <c r="J23" s="2399"/>
      <c r="K23" s="2456"/>
    </row>
    <row r="24" s="2371" customFormat="1" ht="13.5" customHeight="1" spans="1:11">
      <c r="A24" s="2389" t="s">
        <v>941</v>
      </c>
      <c r="B24" s="2414" t="s">
        <v>1119</v>
      </c>
      <c r="C24" s="2419">
        <f>ROUND(F24/(1+'数据-取费表'!C42),4)</f>
        <v>0</v>
      </c>
      <c r="D24" s="2417" t="s">
        <v>1120</v>
      </c>
      <c r="E24" s="2417"/>
      <c r="F24" s="2418">
        <f>IF(项目基本情况!B8="出让",0,'数据-取费表'!B48+'数据-取费表'!B49)</f>
        <v>0</v>
      </c>
      <c r="G24" s="2396" t="s">
        <v>1121</v>
      </c>
      <c r="H24" s="2420"/>
      <c r="I24" s="2420"/>
      <c r="J24" s="2420"/>
      <c r="K24" s="2459"/>
    </row>
    <row r="25" s="2371" customFormat="1" ht="13.5" customHeight="1" spans="1:11">
      <c r="A25" s="2389" t="s">
        <v>945</v>
      </c>
      <c r="B25" s="2416" t="s">
        <v>1122</v>
      </c>
      <c r="C25" s="2421">
        <f ca="1">C27</f>
        <v>0</v>
      </c>
      <c r="D25" s="2419">
        <f ca="1">C26</f>
        <v>0</v>
      </c>
      <c r="E25" s="2422" t="s">
        <v>1120</v>
      </c>
      <c r="F25" s="2423">
        <f ca="1">'数据-取费表'!B40</f>
        <v>0</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912</v>
      </c>
      <c r="B26" s="2424" t="s">
        <v>1123</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916</v>
      </c>
      <c r="B27" s="2424" t="s">
        <v>1124</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946</v>
      </c>
      <c r="B28" s="2431" t="s">
        <v>1125</v>
      </c>
      <c r="C28" s="2432" t="e">
        <f ca="1">C30</f>
        <v>#DIV/0!</v>
      </c>
      <c r="D28" s="2419" t="e">
        <f ca="1">C29</f>
        <v>#DIV/0!</v>
      </c>
      <c r="E28" s="2422" t="s">
        <v>1120</v>
      </c>
      <c r="F28" s="1384" t="e">
        <f ca="1">IF(C1="",'数据-取费表'!Q16,INDIRECT("'数据-取费表'!q"&amp;$K$1))</f>
        <v>#DIV/0!</v>
      </c>
      <c r="G28" s="2433"/>
      <c r="H28" s="2420"/>
      <c r="I28" s="2420"/>
      <c r="J28" s="2420"/>
      <c r="K28" s="2459"/>
    </row>
    <row r="29" s="2375" customFormat="1" ht="13.5" customHeight="1" spans="1:11">
      <c r="A29" s="2400" t="s">
        <v>912</v>
      </c>
      <c r="B29" s="2434" t="s">
        <v>1126</v>
      </c>
      <c r="C29" s="2426" t="e">
        <f ca="1">ROUND((1+C24)*F28*'数据-取费表'!B24/'数据-取费表'!B20,4)</f>
        <v>#DIV/0!</v>
      </c>
      <c r="D29" s="2426"/>
      <c r="E29" s="2427"/>
      <c r="F29" s="2435"/>
      <c r="G29" s="2148" t="s">
        <v>1127</v>
      </c>
      <c r="H29" s="2263"/>
      <c r="I29" s="2263"/>
      <c r="J29" s="2263"/>
      <c r="K29" s="2264"/>
    </row>
    <row r="30" s="2375" customFormat="1" ht="13.5" customHeight="1" spans="1:11">
      <c r="A30" s="2400" t="s">
        <v>916</v>
      </c>
      <c r="B30" s="2434" t="s">
        <v>1128</v>
      </c>
      <c r="C30" s="2436" t="e">
        <f ca="1">ROUND((C21+C22+C23)*F28,0)</f>
        <v>#DIV/0!</v>
      </c>
      <c r="D30" s="2426"/>
      <c r="E30" s="2427"/>
      <c r="F30" s="2435"/>
      <c r="G30" s="2148"/>
      <c r="H30" s="2263"/>
      <c r="I30" s="2263"/>
      <c r="J30" s="2263"/>
      <c r="K30" s="2264"/>
    </row>
    <row r="31" s="2371" customFormat="1" ht="13.5" customHeight="1" spans="1:11">
      <c r="A31" s="2437" t="s">
        <v>1129</v>
      </c>
      <c r="B31" s="2438" t="s">
        <v>1130</v>
      </c>
      <c r="C31" s="2439">
        <f>ROUND(C4*F31/(1+'数据-取费表'!C42),0)</f>
        <v>0</v>
      </c>
      <c r="D31" s="2440"/>
      <c r="E31" s="2441"/>
      <c r="F31" s="2442">
        <f>'数据-取费表'!B41</f>
        <v>0</v>
      </c>
      <c r="G31" s="2443" t="s">
        <v>1131</v>
      </c>
      <c r="H31" s="2444"/>
      <c r="I31" s="2444"/>
      <c r="J31" s="2444"/>
      <c r="K31" s="2460"/>
    </row>
    <row r="32" s="2370" customFormat="1" ht="13.5" customHeight="1" spans="1:11">
      <c r="A32" s="2445" t="s">
        <v>1132</v>
      </c>
      <c r="B32" s="2446"/>
      <c r="C32" s="2447" t="e">
        <f ca="1">ROUND((C4-C21-C22-C23-C25-C28-C31)/(1+C24+D25+D28),0)</f>
        <v>#DIV/0!</v>
      </c>
      <c r="D32" s="2446"/>
      <c r="E32" s="2446"/>
      <c r="F32" s="2446"/>
      <c r="G32" s="2448" t="s">
        <v>1133</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359" t="e">
        <f ca="1">C40+J29+L46</f>
        <v>#DIV/0!</v>
      </c>
      <c r="C2" s="2083" t="s">
        <v>1137</v>
      </c>
      <c r="D2" s="2083"/>
      <c r="E2" s="2085"/>
      <c r="F2" s="2086"/>
      <c r="G2" s="2087"/>
      <c r="H2" s="2088"/>
      <c r="I2" s="2088"/>
      <c r="J2" s="2088"/>
      <c r="K2" s="2250"/>
      <c r="L2" s="2088"/>
      <c r="M2" s="2088"/>
    </row>
    <row r="3" ht="18" customHeight="1" spans="1:13">
      <c r="A3" s="2089" t="s">
        <v>1138</v>
      </c>
      <c r="B3" s="2090">
        <f ca="1">IF(ISERROR(B2*10000/F43),0,ROUND(B2*10000/F43,0))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ROUND(F6*F8*F7*(1-F9)/10000,0)</f>
        <v>0</v>
      </c>
      <c r="D6" s="2105" t="s">
        <v>1149</v>
      </c>
      <c r="E6" s="2106" t="s">
        <v>1150</v>
      </c>
      <c r="F6" s="2107">
        <f ca="1">INDIRECT("'数据-取费表'!u"&amp;$G$1)</f>
        <v>0</v>
      </c>
      <c r="G6" s="798"/>
      <c r="H6" s="2102" t="s">
        <v>889</v>
      </c>
      <c r="I6" s="2103" t="s">
        <v>1148</v>
      </c>
      <c r="J6" s="2180">
        <f ca="1">ROUND(M6*M8*M7*(1-M9)/10000,0)</f>
        <v>0</v>
      </c>
      <c r="K6" s="2105" t="s">
        <v>1151</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118" t="s">
        <v>1156</v>
      </c>
      <c r="L10" s="2119" t="s">
        <v>1157</v>
      </c>
      <c r="M10" s="2120"/>
    </row>
    <row r="11" ht="18" customHeight="1" spans="1:13">
      <c r="A11" s="2121"/>
      <c r="B11" s="2122" t="s">
        <v>1158</v>
      </c>
      <c r="C11" s="2123"/>
      <c r="D11" s="2360"/>
      <c r="E11" s="2119" t="s">
        <v>1159</v>
      </c>
      <c r="F11" s="2124">
        <f ca="1">'数据-取费表'!B39</f>
        <v>0</v>
      </c>
      <c r="G11" s="798"/>
      <c r="H11" s="2125"/>
      <c r="I11" s="2122" t="s">
        <v>1158</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INDIRECT("'数据-取费表'!m"&amp;$G$1)+INDIRECT("'数据-取费表'!t"&amp;$G$1)</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ROUND(INDIRECT("'数据-取费表'!m"&amp;$G$1)*F16,0)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ROUND(F17*(F43+INDIRECT("'数据-取费表'!S"&amp;$G$1))/10000,0)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ROUND(IF(AND(项目基本情况!B11="自然人",项目基本情况!B10="北京市"),J6*M17/(1+'数据-取费表'!C42),J18+J19+J20),2)</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ROUND(J6*M18/(1+'数据-取费表'!C42),2)</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IF(K19="按租金收入计税",ROUND(J6*M19/(1+'数据-取费表'!C42),2),ROUND(C29*M19*0.7,2))</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ROUND(M20*M21/10000,2)</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ROUND(J14*M22,2)</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ROUND(J13*M23,2)</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ROUND(J5*M24,2)</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3"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ROUND(IF(AND(项目基本情况!B11="自然人",项目基本情况!B10="北京市"),C6*F31/(1+'数据-取费表'!C42),C32+C33+C34),2)</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IF(项目基本情况!B11="自然人","——",ROUND(C6*F32/(1+'数据-取费表'!C42),2))</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IF(项目基本情况!B11="自然人","——",IF(D33="按租金收入计税",ROUND(C6*F33/(1+'数据-取费表'!C42),2),IF(D33="按房产原值计税",ROUND(C29*F33*0.7,2),INDIRECT("'数据-取费表'!Aj"&amp;$G$1))))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IF(项目基本情况!B11="自然人","——",ROUND(F34*F35/10000,2))</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ROUND(C29*F36,2)</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ROUND(C13*F37,2)</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ROUND(C5*F38,2)</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ROUND(C40*10000/F43,0)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1234</v>
      </c>
      <c r="P45" s="2181"/>
      <c r="Q45" s="2181"/>
      <c r="R45" s="2181"/>
    </row>
    <row r="46" s="798" customFormat="1" ht="13.75" spans="1:18">
      <c r="A46" s="2197" t="s">
        <v>1235</v>
      </c>
      <c r="C46" s="2198" t="e">
        <f ca="1">C68-C40</f>
        <v>#DIV/0!</v>
      </c>
      <c r="D46" s="2199" t="str">
        <f>C2</f>
        <v>万元</v>
      </c>
      <c r="E46" s="2192"/>
      <c r="F46" s="2192"/>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36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ROUND(F49*F51*F50*(1-F52)/10000,0)</f>
        <v>0</v>
      </c>
      <c r="D49" s="2212" t="s">
        <v>1151</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362"/>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26.75" spans="1:18">
      <c r="A53" s="2363" t="s">
        <v>1270</v>
      </c>
      <c r="B53" s="2364" t="s">
        <v>1155</v>
      </c>
      <c r="C53" s="1046">
        <f ca="1">ROUND(IF(F53="押一",C49/12*F11,IF(F53="押二",C49/12*2*F11,IF(F53="押三",C49/12*3*F11,C54*F11))),0)</f>
        <v>0</v>
      </c>
      <c r="D53" s="2118" t="s">
        <v>1156</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26.75" spans="1:18">
      <c r="A54" s="2365"/>
      <c r="B54" s="2122" t="s">
        <v>1158</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40.5" spans="1:18">
      <c r="A56" s="2229">
        <v>2</v>
      </c>
      <c r="B56" s="2230" t="s">
        <v>1161</v>
      </c>
      <c r="C56" s="429">
        <f ca="1">C13</f>
        <v>0</v>
      </c>
      <c r="D56" s="2231"/>
      <c r="E56" s="2232"/>
      <c r="F56" s="2228"/>
      <c r="I56" s="2321" t="s">
        <v>1278</v>
      </c>
      <c r="J56" s="2322"/>
      <c r="K56" s="2294" t="s">
        <v>1279</v>
      </c>
      <c r="L56" s="2297">
        <f ca="1">IF(L48&lt;J51,"——",L48-J53)</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1281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1285</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IF(项目基本情况!B11="自然人","——",ROUND(C48*F60/(1+'数据-取费表'!C42),2))</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IF(项目基本情况!B11="自然人","——",IF(D61="按租金收入计税",ROUND(C49*F61/(1+'数据-取费表'!C42),2),IF(D61="按房产原值计税",ROUND(C57*F61*0.7,2),INDIRECT("'数据-取费表'!Aj"&amp;$G$1))))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IF(项目基本情况!B11="自然人","——",ROUND(F62*F63/10000,2))</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ROUND(C57*F64,2)</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ROUND(C56*F65,2)</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ROUND(C48*F66,2)</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ROUND(C68*10000/F71,0)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082" t="e">
        <f ca="1">ROUND(D2/10000,4)</f>
        <v>#DIV/0!</v>
      </c>
      <c r="C2" s="2083" t="s">
        <v>1137</v>
      </c>
      <c r="D2" s="2084" t="e">
        <f ca="1">C40+J29+L46</f>
        <v>#DIV/0!</v>
      </c>
      <c r="E2" s="2085" t="s">
        <v>1321</v>
      </c>
      <c r="F2" s="2086"/>
      <c r="G2" s="2087"/>
      <c r="H2" s="2088"/>
      <c r="I2" s="2088"/>
      <c r="J2" s="2088"/>
      <c r="K2" s="2250"/>
      <c r="L2" s="2088"/>
      <c r="M2" s="2088"/>
    </row>
    <row r="3" ht="18" customHeight="1" spans="1:13">
      <c r="A3" s="2089" t="s">
        <v>1138</v>
      </c>
      <c r="B3" s="2090">
        <f ca="1">IF(ISERROR(D2/F43),0,ROUND(D2/F43,0))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ROUND(F6*F8*F7*(1-F9),0)</f>
        <v>0</v>
      </c>
      <c r="D6" s="2105" t="s">
        <v>1322</v>
      </c>
      <c r="E6" s="2106" t="s">
        <v>1150</v>
      </c>
      <c r="F6" s="2107">
        <f ca="1">INDIRECT("'数据-取费表'!u"&amp;$G$1)</f>
        <v>0</v>
      </c>
      <c r="G6" s="798"/>
      <c r="H6" s="2102" t="s">
        <v>889</v>
      </c>
      <c r="I6" s="2103" t="s">
        <v>1148</v>
      </c>
      <c r="J6" s="2180">
        <f ca="1">ROUND(M6*M8*M7*(1-M9),0)</f>
        <v>0</v>
      </c>
      <c r="K6" s="2253" t="s">
        <v>1323</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254" t="s">
        <v>1324</v>
      </c>
      <c r="L10" s="2119" t="s">
        <v>1157</v>
      </c>
      <c r="M10" s="2120"/>
    </row>
    <row r="11" ht="18" customHeight="1" spans="1:13">
      <c r="A11" s="2121"/>
      <c r="B11" s="2122" t="s">
        <v>1325</v>
      </c>
      <c r="C11" s="2123"/>
      <c r="D11" s="2111"/>
      <c r="E11" s="2119" t="s">
        <v>1159</v>
      </c>
      <c r="F11" s="2124">
        <f ca="1">'数据-取费表'!B39</f>
        <v>0</v>
      </c>
      <c r="G11" s="798"/>
      <c r="H11" s="2125"/>
      <c r="I11" s="2122" t="s">
        <v>1326</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ROUND(INDIRECT("'数据-取费表'!l"&amp;$G$1)*F43+'数据-取费表'!L14*INDIRECT("'数据-取费表'!S"&amp;$G$1),0)</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ROUND(INDIRECT("'数据-取费表'!l"&amp;$G$1)*F43*F16,0)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ROUND(IF(AND(项目基本情况!B11="自然人",项目基本情况!B10="北京市"),J6*M17/(1+'数据-取费表'!C42),J18+J19+J20),0)</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ROUND(J6*M18/(1+'数据-取费表'!C42),0)</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IF(K19="按租金收入计税",ROUND(J6*M19/(1+'数据-取费表'!C42),0),ROUND(C29*M19*0.7,0))</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ROUND(M20*M21,0)</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ROUND(J14*M22,0)</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ROUND(J13*M23,0)</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ROUND(J5*M24,0)</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8" customHeight="1"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ROUND(IF(AND(项目基本情况!B11="自然人",项目基本情况!B10="北京市"),C6*F31/(1+'数据-取费表'!C42),C32+C33+C34),0)</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IF(项目基本情况!B11="自然人","——",ROUND(C6*F32/(1+'数据-取费表'!C42),0))</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IF(项目基本情况!B11="自然人","——",IF(D33="按租金收入计税",ROUND(C6*F33/(1+'数据-取费表'!C42),0),IF(D33="按房产原值计税",ROUND(C29*F33*0.7,0),INDIRECT("'数据-取费表'!Aj"&amp;$G$1))))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IF(项目基本情况!B11="自然人","——",ROUND(F34*F35,0))</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ROUND(C29*F36,0)</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ROUND(C13*F37,0)</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ROUND(C5*F38,0)</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1327</v>
      </c>
      <c r="B45" s="2192"/>
      <c r="C45" s="2195" t="e">
        <f ca="1">ROUND((C68-C40)/10000,4)</f>
        <v>#DIV/0!</v>
      </c>
      <c r="D45" s="2196" t="s">
        <v>1328</v>
      </c>
      <c r="E45" s="2192"/>
      <c r="F45" s="2192"/>
      <c r="O45" s="2280" t="s">
        <v>1234</v>
      </c>
      <c r="P45" s="2181"/>
      <c r="Q45" s="2181"/>
      <c r="R45" s="2181"/>
    </row>
    <row r="46" s="798" customFormat="1" ht="13.75" spans="1:18">
      <c r="A46" s="2197" t="s">
        <v>1235</v>
      </c>
      <c r="C46" s="2198" t="e">
        <f ca="1">ROUND(C45,0)</f>
        <v>#DIV/0!</v>
      </c>
      <c r="D46" s="2199" t="str">
        <f>C2</f>
        <v>万元</v>
      </c>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20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ROUND(F49*F51*F50*(1-F52),0)</f>
        <v>0</v>
      </c>
      <c r="D49" s="2212" t="s">
        <v>1329</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218"/>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30.75" customHeight="1" spans="1:18">
      <c r="A53" s="2225" t="s">
        <v>1270</v>
      </c>
      <c r="B53" s="2149" t="s">
        <v>1155</v>
      </c>
      <c r="C53" s="1046">
        <f ca="1">ROUND(IF(F53="押一",C49/12*F11,IF(F53="押二",C49/12*2*F11,IF(F53="押三",C49/12*3*F11,C54*F11))),0)</f>
        <v>0</v>
      </c>
      <c r="D53" s="2118" t="s">
        <v>1330</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13.75" spans="1:18">
      <c r="A54" s="2209"/>
      <c r="B54" s="2226" t="s">
        <v>1326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36" customHeight="1" spans="1:18">
      <c r="A56" s="2229">
        <v>2</v>
      </c>
      <c r="B56" s="2230" t="s">
        <v>1161</v>
      </c>
      <c r="C56" s="429">
        <f ca="1">C13</f>
        <v>0</v>
      </c>
      <c r="D56" s="2231"/>
      <c r="E56" s="2232"/>
      <c r="F56" s="2228"/>
      <c r="I56" s="2321" t="s">
        <v>1278</v>
      </c>
      <c r="J56" s="2322"/>
      <c r="K56" s="2294" t="s">
        <v>1279</v>
      </c>
      <c r="L56" s="2297">
        <f ca="1">IF(L48&lt;J51,"——",L48-J51)</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1331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1332</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IF(项目基本情况!B11="自然人","——",ROUND(C48*F60/(1+'数据-取费表'!C42),0))</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IF(项目基本情况!B11="自然人","——",IF(D61="按租金收入计税",ROUND(C49*F61/(1+'数据-取费表'!C42),0),IF(D61="按房产原值计税",ROUND(C57*F61*0.7,0),INDIRECT("'数据-取费表'!Aj"&amp;$G$1))))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IF(项目基本情况!B11="自然人","——",ROUND(F62*F63,0))</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ROUND(C57*F64,0)</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ROUND(C56*F65,0)</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ROUND(C48*F66,0)</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1333</v>
      </c>
      <c r="B1" s="1889"/>
      <c r="C1" s="1890"/>
      <c r="D1" s="1890"/>
      <c r="E1" s="1891"/>
      <c r="F1" s="1892"/>
      <c r="G1" s="1893"/>
      <c r="J1" s="2000" t="s">
        <v>1334</v>
      </c>
      <c r="K1" s="2001"/>
      <c r="L1" s="2001"/>
      <c r="M1" s="2001"/>
      <c r="N1" s="2001"/>
      <c r="O1" s="2001"/>
      <c r="P1" s="2001"/>
      <c r="Q1" s="2001"/>
      <c r="R1" s="2049"/>
      <c r="S1" s="2050"/>
      <c r="T1" s="2050"/>
      <c r="U1" s="2050"/>
    </row>
    <row r="2" s="1881" customFormat="1" customHeight="1" spans="1:22">
      <c r="A2" s="1894" t="s">
        <v>1136</v>
      </c>
      <c r="B2" s="1895" t="e">
        <f>IF(D2="——",C40,C40+E2)</f>
        <v>#DIV/0!</v>
      </c>
      <c r="C2" s="1890" t="s">
        <v>1137</v>
      </c>
      <c r="D2" s="1896" t="s">
        <v>1335</v>
      </c>
      <c r="E2" s="1897"/>
      <c r="F2" s="1898"/>
      <c r="G2" s="1899"/>
      <c r="H2" s="1900"/>
      <c r="I2" s="2002"/>
      <c r="J2" s="2003" t="s">
        <v>1336</v>
      </c>
      <c r="K2" s="2004"/>
      <c r="L2" s="2005" t="s">
        <v>1337</v>
      </c>
      <c r="M2" s="2005" t="s">
        <v>1338</v>
      </c>
      <c r="N2" s="2005" t="s">
        <v>1339</v>
      </c>
      <c r="O2" s="2005" t="s">
        <v>1340</v>
      </c>
      <c r="P2" s="2005" t="s">
        <v>1341</v>
      </c>
      <c r="Q2" s="2051" t="s">
        <v>1342</v>
      </c>
      <c r="R2" s="2052" t="s">
        <v>1343</v>
      </c>
      <c r="S2" s="2050"/>
      <c r="T2" s="2050"/>
      <c r="U2" s="2050"/>
      <c r="V2" s="2002"/>
    </row>
    <row r="3" s="1881" customFormat="1" customHeight="1" spans="1:22">
      <c r="A3" s="1901" t="s">
        <v>1138</v>
      </c>
      <c r="B3" s="1902" t="e">
        <f>ROUND(B2*10000/B4,0)</f>
        <v>#DIV/0!</v>
      </c>
      <c r="C3" s="1890" t="s">
        <v>1139</v>
      </c>
      <c r="D3" s="1890"/>
      <c r="E3" s="1903"/>
      <c r="F3" s="1898"/>
      <c r="G3" s="1899"/>
      <c r="H3" s="1900"/>
      <c r="I3" s="2002"/>
      <c r="J3" s="2006" t="s">
        <v>1344</v>
      </c>
      <c r="K3" s="2007"/>
      <c r="L3" s="2008"/>
      <c r="M3" s="2008"/>
      <c r="N3" s="2008"/>
      <c r="O3" s="2008"/>
      <c r="P3" s="2008"/>
      <c r="Q3" s="2053"/>
      <c r="R3" s="2054">
        <f>SUM(L3:Q3)</f>
        <v>0</v>
      </c>
      <c r="S3" s="2050"/>
      <c r="T3" s="2050"/>
      <c r="U3" s="2050"/>
      <c r="V3" s="2002"/>
    </row>
    <row r="4" s="1881" customFormat="1" customHeight="1" spans="1:22">
      <c r="A4" s="1904" t="s">
        <v>1345</v>
      </c>
      <c r="B4" s="1905"/>
      <c r="C4" s="1890"/>
      <c r="D4" s="1890"/>
      <c r="E4" s="1903"/>
      <c r="F4" s="1898"/>
      <c r="G4" s="1899"/>
      <c r="H4" s="1900"/>
      <c r="I4" s="2002"/>
      <c r="J4" s="2006" t="s">
        <v>1346</v>
      </c>
      <c r="K4" s="2007"/>
      <c r="L4" s="2009"/>
      <c r="M4" s="2009"/>
      <c r="N4" s="2009"/>
      <c r="O4" s="2009"/>
      <c r="P4" s="2009"/>
      <c r="Q4" s="2055"/>
      <c r="R4" s="2056">
        <f>SUM(L4:Q4)</f>
        <v>0</v>
      </c>
      <c r="S4" s="2050"/>
      <c r="T4" s="2050"/>
      <c r="U4" s="2050"/>
      <c r="V4" s="2002"/>
    </row>
    <row r="5" s="1881" customFormat="1" customHeight="1" spans="1:22">
      <c r="A5" s="1906" t="s">
        <v>1347</v>
      </c>
      <c r="B5" s="1907"/>
      <c r="C5" s="1890"/>
      <c r="D5" s="1908"/>
      <c r="E5" s="1898"/>
      <c r="F5" s="1898"/>
      <c r="G5" s="1899"/>
      <c r="H5" s="1900"/>
      <c r="I5" s="2002"/>
      <c r="J5" s="2010" t="s">
        <v>1348</v>
      </c>
      <c r="K5" s="2011"/>
      <c r="L5" s="2011"/>
      <c r="M5" s="2012"/>
      <c r="N5" s="2012"/>
      <c r="O5" s="2012"/>
      <c r="P5" s="2012"/>
      <c r="Q5" s="2012"/>
      <c r="R5" s="2052">
        <f>SUM(R14,R19,R24,R25,R27,R28)</f>
        <v>0</v>
      </c>
      <c r="S5" s="2050"/>
      <c r="T5" s="2050" t="s">
        <v>1349</v>
      </c>
      <c r="U5" s="2050" t="e">
        <f>ROUND(R5*10000/365/R3,1)</f>
        <v>#DIV/0!</v>
      </c>
      <c r="V5" s="2002"/>
    </row>
    <row r="6" s="1881" customFormat="1" customHeight="1" spans="1:22">
      <c r="A6" s="1909" t="s">
        <v>1350</v>
      </c>
      <c r="B6" s="1910"/>
      <c r="C6" s="1911"/>
      <c r="D6" s="1912"/>
      <c r="E6" s="1913"/>
      <c r="F6" s="1914"/>
      <c r="G6" s="1915"/>
      <c r="H6" s="1900"/>
      <c r="I6" s="2002"/>
      <c r="J6" s="2013">
        <v>1</v>
      </c>
      <c r="K6" s="2014" t="s">
        <v>1351</v>
      </c>
      <c r="L6" s="2015" t="s">
        <v>1352</v>
      </c>
      <c r="M6" s="2016" t="s">
        <v>1353</v>
      </c>
      <c r="N6" s="2016" t="s">
        <v>1354</v>
      </c>
      <c r="O6" s="2016" t="s">
        <v>1355</v>
      </c>
      <c r="P6" s="2016" t="s">
        <v>1356</v>
      </c>
      <c r="Q6" s="2016" t="s">
        <v>1357</v>
      </c>
      <c r="R6" s="2054" t="s">
        <v>1358</v>
      </c>
      <c r="S6" s="2050"/>
      <c r="T6" s="2050" t="s">
        <v>1359</v>
      </c>
      <c r="U6" s="2050"/>
      <c r="V6" s="2002"/>
    </row>
    <row r="7" s="1881" customFormat="1" customHeight="1" spans="1:22">
      <c r="A7" s="1916" t="s">
        <v>1360</v>
      </c>
      <c r="B7" s="1917"/>
      <c r="C7" s="1918"/>
      <c r="D7" s="1919">
        <f>SUM(D9,D10,D11,D17,0)</f>
        <v>0</v>
      </c>
      <c r="E7" s="1920" t="e">
        <f>E9+E10+E11+E17</f>
        <v>#DIV/0!</v>
      </c>
      <c r="F7" s="1921"/>
      <c r="G7" s="1922"/>
      <c r="H7" s="1900"/>
      <c r="I7" s="2002"/>
      <c r="J7" s="2013"/>
      <c r="K7" s="2017"/>
      <c r="L7" s="2018" t="s">
        <v>1361</v>
      </c>
      <c r="M7" s="2019"/>
      <c r="N7" s="1905"/>
      <c r="O7" s="2020"/>
      <c r="P7" s="2020"/>
      <c r="Q7" s="1941">
        <v>365</v>
      </c>
      <c r="R7" s="2057">
        <f>ROUND(M7*N7*O7*P7*Q7/10000,0)</f>
        <v>0</v>
      </c>
      <c r="S7" s="2050"/>
      <c r="T7" s="2050" t="s">
        <v>1362</v>
      </c>
      <c r="U7" s="2050"/>
      <c r="V7" s="2002"/>
    </row>
    <row r="8" s="1881" customFormat="1" customHeight="1" spans="1:22">
      <c r="A8" s="1923" t="s">
        <v>1363</v>
      </c>
      <c r="B8" s="1924" t="s">
        <v>1364</v>
      </c>
      <c r="C8" s="1925"/>
      <c r="D8" s="1926" t="s">
        <v>1365</v>
      </c>
      <c r="E8" s="1927" t="s">
        <v>1366</v>
      </c>
      <c r="F8" s="1928" t="s">
        <v>1367</v>
      </c>
      <c r="G8" s="1929"/>
      <c r="H8" s="1900"/>
      <c r="I8" s="2002"/>
      <c r="J8" s="2013"/>
      <c r="K8" s="2017"/>
      <c r="L8" s="2018" t="s">
        <v>1368</v>
      </c>
      <c r="M8" s="2019"/>
      <c r="N8" s="1905"/>
      <c r="O8" s="2020"/>
      <c r="P8" s="2020"/>
      <c r="Q8" s="1941">
        <v>365</v>
      </c>
      <c r="R8" s="2057">
        <f t="shared" ref="R8:R13" si="0">ROUND(M8*N8*O8*P8*Q8/10000,0)</f>
        <v>0</v>
      </c>
      <c r="S8" s="2050"/>
      <c r="T8" s="2050" t="s">
        <v>1369</v>
      </c>
      <c r="U8" s="2050"/>
      <c r="V8" s="2002"/>
    </row>
    <row r="9" s="1881" customFormat="1" customHeight="1" spans="1:22">
      <c r="A9" s="1923">
        <v>1</v>
      </c>
      <c r="B9" s="1924" t="s">
        <v>1370</v>
      </c>
      <c r="C9" s="1925"/>
      <c r="D9" s="1926">
        <f>ROUND(D6*E9,0)</f>
        <v>0</v>
      </c>
      <c r="E9" s="1930"/>
      <c r="F9" s="1931" t="s">
        <v>1371</v>
      </c>
      <c r="G9" s="1915"/>
      <c r="H9" s="1900"/>
      <c r="I9" s="2002"/>
      <c r="J9" s="2013"/>
      <c r="K9" s="2017"/>
      <c r="L9" s="2018" t="s">
        <v>1372</v>
      </c>
      <c r="M9" s="2019"/>
      <c r="N9" s="1905"/>
      <c r="O9" s="2020"/>
      <c r="P9" s="2020"/>
      <c r="Q9" s="1941">
        <v>365</v>
      </c>
      <c r="R9" s="2057">
        <f t="shared" si="0"/>
        <v>0</v>
      </c>
      <c r="S9" s="2050"/>
      <c r="T9" s="2050"/>
      <c r="U9" s="2050"/>
      <c r="V9" s="2002"/>
    </row>
    <row r="10" s="1881" customFormat="1" customHeight="1" spans="1:22">
      <c r="A10" s="1923">
        <v>2</v>
      </c>
      <c r="B10" s="1924" t="s">
        <v>1373</v>
      </c>
      <c r="C10" s="1925"/>
      <c r="D10" s="1926">
        <f>ROUND(D6*E10,0)</f>
        <v>0</v>
      </c>
      <c r="E10" s="1930"/>
      <c r="F10" s="1931" t="s">
        <v>1374</v>
      </c>
      <c r="G10" s="1915"/>
      <c r="H10" s="1900"/>
      <c r="I10" s="2002"/>
      <c r="J10" s="2013"/>
      <c r="K10" s="2017"/>
      <c r="L10" s="2018" t="s">
        <v>1375</v>
      </c>
      <c r="M10" s="2019"/>
      <c r="N10" s="1905"/>
      <c r="O10" s="2020"/>
      <c r="P10" s="2020"/>
      <c r="Q10" s="1941">
        <v>365</v>
      </c>
      <c r="R10" s="2057">
        <f t="shared" si="0"/>
        <v>0</v>
      </c>
      <c r="S10" s="2050"/>
      <c r="T10" s="2050"/>
      <c r="U10" s="2050"/>
      <c r="V10" s="2002"/>
    </row>
    <row r="11" s="1881" customFormat="1" customHeight="1" spans="1:22">
      <c r="A11" s="1923">
        <v>3</v>
      </c>
      <c r="B11" s="1924" t="s">
        <v>1376</v>
      </c>
      <c r="C11" s="1925"/>
      <c r="D11" s="1926">
        <f>D12+D14+D15+D16</f>
        <v>0</v>
      </c>
      <c r="E11" s="1932" t="e">
        <f>D11/D6</f>
        <v>#DIV/0!</v>
      </c>
      <c r="F11" s="1928"/>
      <c r="G11" s="1929"/>
      <c r="H11" s="1900"/>
      <c r="I11" s="2002"/>
      <c r="J11" s="2013"/>
      <c r="K11" s="2017"/>
      <c r="L11" s="2018" t="s">
        <v>1377</v>
      </c>
      <c r="M11" s="2019"/>
      <c r="N11" s="1905"/>
      <c r="O11" s="2020"/>
      <c r="P11" s="2020"/>
      <c r="Q11" s="1941">
        <v>365</v>
      </c>
      <c r="R11" s="2057">
        <f t="shared" si="0"/>
        <v>0</v>
      </c>
      <c r="S11" s="2050"/>
      <c r="T11" s="2050"/>
      <c r="U11" s="2050"/>
      <c r="V11" s="2002"/>
    </row>
    <row r="12" s="1881" customFormat="1" customHeight="1" spans="1:22">
      <c r="A12" s="1933" t="s">
        <v>1378</v>
      </c>
      <c r="B12" s="1934" t="s">
        <v>1379</v>
      </c>
      <c r="C12" s="1935"/>
      <c r="D12" s="1936">
        <f>ROUND(D13*1.2%*(1-30%),0)</f>
        <v>0</v>
      </c>
      <c r="E12" s="1937">
        <v>0.012</v>
      </c>
      <c r="F12" s="1928" t="s">
        <v>1380</v>
      </c>
      <c r="G12" s="1929"/>
      <c r="H12" s="1900"/>
      <c r="I12" s="2002"/>
      <c r="J12" s="2013"/>
      <c r="K12" s="2017"/>
      <c r="L12" s="2018" t="s">
        <v>1381</v>
      </c>
      <c r="M12" s="2019"/>
      <c r="N12" s="1905"/>
      <c r="O12" s="2020"/>
      <c r="P12" s="2020"/>
      <c r="Q12" s="1941">
        <v>365</v>
      </c>
      <c r="R12" s="2057">
        <f t="shared" si="0"/>
        <v>0</v>
      </c>
      <c r="S12" s="2050"/>
      <c r="T12" s="2050"/>
      <c r="U12" s="2050"/>
      <c r="V12" s="2002"/>
    </row>
    <row r="13" s="1881" customFormat="1" customHeight="1" spans="1:22">
      <c r="A13" s="1933"/>
      <c r="B13" s="1934"/>
      <c r="C13" s="1938" t="s">
        <v>1382</v>
      </c>
      <c r="D13" s="1939"/>
      <c r="E13" s="1940"/>
      <c r="F13" s="1928"/>
      <c r="G13" s="1929"/>
      <c r="H13" s="1900"/>
      <c r="I13" s="2002"/>
      <c r="J13" s="2013"/>
      <c r="K13" s="2017"/>
      <c r="L13" s="2018" t="s">
        <v>1383</v>
      </c>
      <c r="M13" s="2019"/>
      <c r="N13" s="1905"/>
      <c r="O13" s="2020"/>
      <c r="P13" s="2020"/>
      <c r="Q13" s="1941">
        <v>365</v>
      </c>
      <c r="R13" s="2057">
        <f t="shared" si="0"/>
        <v>0</v>
      </c>
      <c r="S13" s="2050"/>
      <c r="T13" s="2050"/>
      <c r="U13" s="2050"/>
      <c r="V13" s="2002"/>
    </row>
    <row r="14" s="1881" customFormat="1" customHeight="1" spans="1:22">
      <c r="A14" s="1933" t="s">
        <v>1384</v>
      </c>
      <c r="B14" s="1934" t="s">
        <v>1385</v>
      </c>
      <c r="C14" s="1935"/>
      <c r="D14" s="1936">
        <f>ROUND(E14*B5/10000,0)</f>
        <v>0</v>
      </c>
      <c r="E14" s="1941"/>
      <c r="F14" s="1928" t="s">
        <v>1386</v>
      </c>
      <c r="G14" s="1929"/>
      <c r="H14" s="1900"/>
      <c r="I14" s="2002"/>
      <c r="J14" s="2013"/>
      <c r="K14" s="2021"/>
      <c r="L14" s="2022" t="s">
        <v>1387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1388</v>
      </c>
      <c r="B15" s="1934" t="s">
        <v>1389</v>
      </c>
      <c r="C15" s="1935"/>
      <c r="D15" s="1936">
        <f>ROUND(D6*E15,0)</f>
        <v>0</v>
      </c>
      <c r="E15" s="1937">
        <v>0.055</v>
      </c>
      <c r="F15" s="1928" t="s">
        <v>1390</v>
      </c>
      <c r="G15" s="1915"/>
      <c r="H15" s="1900"/>
      <c r="I15" s="2002"/>
      <c r="J15" s="2013">
        <v>2</v>
      </c>
      <c r="K15" s="2014" t="s">
        <v>1391</v>
      </c>
      <c r="L15" s="2018" t="s">
        <v>1392</v>
      </c>
      <c r="M15" s="2019" t="s">
        <v>1393</v>
      </c>
      <c r="N15" s="2019" t="s">
        <v>1394</v>
      </c>
      <c r="O15" s="2020" t="s">
        <v>1395</v>
      </c>
      <c r="P15" s="2020" t="s">
        <v>1357</v>
      </c>
      <c r="Q15" s="1905" t="s">
        <v>124</v>
      </c>
      <c r="R15" s="2059" t="s">
        <v>1358</v>
      </c>
      <c r="S15" s="2050"/>
      <c r="T15" s="2050"/>
      <c r="U15" s="2050"/>
      <c r="V15" s="2002"/>
    </row>
    <row r="16" s="1881" customFormat="1" customHeight="1" spans="1:22">
      <c r="A16" s="1933" t="s">
        <v>1396</v>
      </c>
      <c r="B16" s="1934" t="s">
        <v>1397</v>
      </c>
      <c r="C16" s="1935"/>
      <c r="D16" s="1942">
        <f>D6*E16</f>
        <v>0</v>
      </c>
      <c r="E16" s="1943"/>
      <c r="F16" s="1931" t="s">
        <v>1398</v>
      </c>
      <c r="G16" s="1915"/>
      <c r="H16" s="1900"/>
      <c r="I16" s="2002"/>
      <c r="J16" s="2013"/>
      <c r="K16" s="2017"/>
      <c r="L16" s="2018" t="s">
        <v>1399</v>
      </c>
      <c r="M16" s="2019"/>
      <c r="N16" s="2019"/>
      <c r="O16" s="2020"/>
      <c r="P16" s="1941">
        <v>365</v>
      </c>
      <c r="Q16" s="1905"/>
      <c r="R16" s="2059">
        <f>ROUND(M16*N16*O16*P16/10000,0)</f>
        <v>0</v>
      </c>
      <c r="S16" s="2050"/>
      <c r="T16" s="2050"/>
      <c r="U16" s="2050"/>
      <c r="V16" s="2002"/>
    </row>
    <row r="17" s="1881" customFormat="1" customHeight="1" spans="1:22">
      <c r="A17" s="1944">
        <v>4</v>
      </c>
      <c r="B17" s="1945" t="s">
        <v>1400</v>
      </c>
      <c r="C17" s="1946"/>
      <c r="D17" s="1947">
        <f>ROUND(D6*E17,0)</f>
        <v>0</v>
      </c>
      <c r="E17" s="1948"/>
      <c r="F17" s="1949" t="s">
        <v>1401</v>
      </c>
      <c r="G17" s="1915"/>
      <c r="H17" s="1900"/>
      <c r="I17" s="2002"/>
      <c r="J17" s="2013"/>
      <c r="K17" s="2017"/>
      <c r="L17" s="2018" t="s">
        <v>1402</v>
      </c>
      <c r="M17" s="2019"/>
      <c r="N17" s="2019"/>
      <c r="O17" s="2020"/>
      <c r="P17" s="1941">
        <v>365</v>
      </c>
      <c r="Q17" s="1905"/>
      <c r="R17" s="2059">
        <f>ROUND(M17*N17*O17*P17/10000,0)</f>
        <v>0</v>
      </c>
      <c r="S17" s="2050"/>
      <c r="T17" s="2050"/>
      <c r="U17" s="2050"/>
      <c r="V17" s="2002"/>
    </row>
    <row r="18" s="1881" customFormat="1" customHeight="1" spans="1:22">
      <c r="A18" s="1916" t="s">
        <v>1403</v>
      </c>
      <c r="B18" s="1917"/>
      <c r="C18" s="1917"/>
      <c r="D18" s="1950">
        <f>ROUND(D6*E18,0)</f>
        <v>0</v>
      </c>
      <c r="E18" s="1951"/>
      <c r="F18" s="1952" t="s">
        <v>1404</v>
      </c>
      <c r="G18" s="1915"/>
      <c r="H18" s="1900"/>
      <c r="I18" s="2002"/>
      <c r="J18" s="2013"/>
      <c r="K18" s="2017"/>
      <c r="L18" s="2018" t="s">
        <v>1405</v>
      </c>
      <c r="M18" s="2019"/>
      <c r="N18" s="2019"/>
      <c r="O18" s="2020"/>
      <c r="P18" s="1941">
        <v>365</v>
      </c>
      <c r="Q18" s="1905"/>
      <c r="R18" s="2059">
        <f>ROUND(M18*N18*O18*P18/10000,0)</f>
        <v>0</v>
      </c>
      <c r="S18" s="2050"/>
      <c r="T18" s="2050"/>
      <c r="U18" s="2050"/>
      <c r="V18" s="2002"/>
    </row>
    <row r="19" s="1881" customFormat="1" customHeight="1" spans="1:22">
      <c r="A19" s="1953" t="s">
        <v>1406</v>
      </c>
      <c r="B19" s="1913"/>
      <c r="C19" s="1913"/>
      <c r="D19" s="1913"/>
      <c r="E19" s="1913"/>
      <c r="F19" s="1914"/>
      <c r="G19" s="1929"/>
      <c r="H19" s="1900"/>
      <c r="I19" s="2002"/>
      <c r="J19" s="2013"/>
      <c r="K19" s="2021"/>
      <c r="L19" s="2022" t="s">
        <v>1387</v>
      </c>
      <c r="M19" s="2023"/>
      <c r="N19" s="2023">
        <f>SUM(N16:N18)</f>
        <v>0</v>
      </c>
      <c r="O19" s="2024"/>
      <c r="P19" s="2025" t="s">
        <v>1407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1408</v>
      </c>
      <c r="L20" s="2018" t="s">
        <v>1409</v>
      </c>
      <c r="M20" s="2019" t="s">
        <v>1410</v>
      </c>
      <c r="N20" s="2026" t="s">
        <v>1411</v>
      </c>
      <c r="O20" s="2020" t="s">
        <v>1412</v>
      </c>
      <c r="P20" s="1941" t="s">
        <v>1357</v>
      </c>
      <c r="Q20" s="1905" t="s">
        <v>124</v>
      </c>
      <c r="R20" s="2059" t="s">
        <v>1358</v>
      </c>
      <c r="S20" s="2047"/>
      <c r="T20" s="2047"/>
      <c r="U20" s="2047"/>
      <c r="V20" s="2002"/>
    </row>
    <row r="21" s="1881" customFormat="1" customHeight="1" spans="1:22">
      <c r="A21" s="1916"/>
      <c r="B21" s="1917"/>
      <c r="C21" s="1924" t="s">
        <v>1413</v>
      </c>
      <c r="D21" s="1955" t="s">
        <v>1414</v>
      </c>
      <c r="E21" s="1925" t="s">
        <v>1415</v>
      </c>
      <c r="F21" s="1954"/>
      <c r="G21" s="1929"/>
      <c r="H21" s="1900"/>
      <c r="I21" s="2002"/>
      <c r="J21" s="2013"/>
      <c r="K21" s="2017"/>
      <c r="L21" s="2018" t="s">
        <v>1416</v>
      </c>
      <c r="M21" s="2019"/>
      <c r="N21" s="2019"/>
      <c r="O21" s="2020"/>
      <c r="P21" s="1941">
        <v>365</v>
      </c>
      <c r="Q21" s="1905"/>
      <c r="R21" s="2061">
        <f>ROUND(M21*N21*O21*P21/10000,0)</f>
        <v>0</v>
      </c>
      <c r="S21" s="2047"/>
      <c r="T21" s="2047"/>
      <c r="U21" s="2047"/>
      <c r="V21" s="2002"/>
    </row>
    <row r="22" s="1881" customFormat="1" customHeight="1" spans="1:22">
      <c r="A22" s="1916"/>
      <c r="B22" s="1917"/>
      <c r="C22" s="1956" t="s">
        <v>1417</v>
      </c>
      <c r="D22" s="1957" t="s">
        <v>1418</v>
      </c>
      <c r="E22" s="1958" t="s">
        <v>1419</v>
      </c>
      <c r="F22" s="1954"/>
      <c r="G22" s="1959"/>
      <c r="H22" s="1900"/>
      <c r="I22" s="2002"/>
      <c r="J22" s="2013"/>
      <c r="K22" s="2017"/>
      <c r="L22" s="2018" t="s">
        <v>1420</v>
      </c>
      <c r="M22" s="2019"/>
      <c r="N22" s="2019"/>
      <c r="O22" s="2020"/>
      <c r="P22" s="1941">
        <v>365</v>
      </c>
      <c r="Q22" s="1905"/>
      <c r="R22" s="2061">
        <f>ROUND(M22*N22*O22*P22/10000,0)</f>
        <v>0</v>
      </c>
      <c r="S22" s="2047"/>
      <c r="T22" s="2047"/>
      <c r="U22" s="2047"/>
      <c r="V22" s="2002"/>
    </row>
    <row r="23" s="1881" customFormat="1" customHeight="1" spans="1:22">
      <c r="A23" s="1960">
        <v>1</v>
      </c>
      <c r="B23" s="1961" t="s">
        <v>1421</v>
      </c>
      <c r="C23" s="1962">
        <f>D6</f>
        <v>0</v>
      </c>
      <c r="D23" s="1963">
        <f>C23*(1+D24)</f>
        <v>0</v>
      </c>
      <c r="E23" s="1964">
        <f>D23*(1+E24)</f>
        <v>0</v>
      </c>
      <c r="F23" s="1965"/>
      <c r="G23" s="1966"/>
      <c r="H23" s="1900"/>
      <c r="I23" s="2002"/>
      <c r="J23" s="2013"/>
      <c r="K23" s="2017"/>
      <c r="L23" s="2018" t="s">
        <v>1422</v>
      </c>
      <c r="M23" s="2019"/>
      <c r="N23" s="2019"/>
      <c r="O23" s="2020"/>
      <c r="P23" s="1941">
        <v>365</v>
      </c>
      <c r="Q23" s="1905"/>
      <c r="R23" s="2061">
        <f>ROUND(M23*N23*O23*P23/10000,0)</f>
        <v>0</v>
      </c>
      <c r="S23" s="2050"/>
      <c r="T23" s="2050"/>
      <c r="U23" s="2050"/>
      <c r="V23" s="2002"/>
    </row>
    <row r="24" s="1881" customFormat="1" customHeight="1" spans="1:22">
      <c r="A24" s="1967"/>
      <c r="B24" s="1968" t="s">
        <v>1423</v>
      </c>
      <c r="C24" s="1969"/>
      <c r="D24" s="1970"/>
      <c r="E24" s="1971"/>
      <c r="F24" s="1972"/>
      <c r="G24" s="1966"/>
      <c r="H24" s="1900"/>
      <c r="I24" s="2002"/>
      <c r="J24" s="2013"/>
      <c r="K24" s="2021"/>
      <c r="L24" s="2022" t="s">
        <v>1387</v>
      </c>
      <c r="M24" s="2023">
        <f>SUM(M21:M23)</f>
        <v>0</v>
      </c>
      <c r="N24" s="2023"/>
      <c r="O24" s="2024"/>
      <c r="P24" s="2025" t="s">
        <v>1407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1424</v>
      </c>
      <c r="L25" s="2028"/>
      <c r="M25" s="2028"/>
      <c r="N25" s="2028"/>
      <c r="O25" s="2028"/>
      <c r="P25" s="2029"/>
      <c r="Q25" s="2062">
        <v>0</v>
      </c>
      <c r="R25" s="2060">
        <f>ROUND(R14*Q25,0)</f>
        <v>0</v>
      </c>
      <c r="S25" s="2050"/>
      <c r="T25" s="2050"/>
      <c r="U25" s="2050"/>
      <c r="V25" s="2036"/>
    </row>
    <row r="26" s="1882" customFormat="1" customHeight="1" spans="1:22">
      <c r="A26" s="1960">
        <v>2</v>
      </c>
      <c r="B26" s="1961" t="s">
        <v>1425</v>
      </c>
      <c r="C26" s="1962">
        <f>D7</f>
        <v>0</v>
      </c>
      <c r="D26" s="1963">
        <f>D23*D27</f>
        <v>0</v>
      </c>
      <c r="E26" s="1964">
        <f>E23*E27</f>
        <v>0</v>
      </c>
      <c r="F26" s="1965"/>
      <c r="G26" s="1966"/>
      <c r="H26" s="1900"/>
      <c r="I26" s="2002"/>
      <c r="J26" s="2030">
        <v>5</v>
      </c>
      <c r="K26" s="2031" t="s">
        <v>1426</v>
      </c>
      <c r="L26" s="2032"/>
      <c r="M26" s="2033"/>
      <c r="N26" s="2034" t="s">
        <v>454</v>
      </c>
      <c r="O26" s="2034" t="s">
        <v>1427</v>
      </c>
      <c r="P26" s="2035" t="s">
        <v>1428</v>
      </c>
      <c r="Q26" s="2035" t="s">
        <v>1429</v>
      </c>
      <c r="R26" s="2054" t="s">
        <v>1358</v>
      </c>
      <c r="S26" s="2063"/>
      <c r="T26" s="2063"/>
      <c r="U26" s="2063"/>
      <c r="V26" s="2036"/>
    </row>
    <row r="27" s="1881" customFormat="1" customHeight="1" spans="1:22">
      <c r="A27" s="1967"/>
      <c r="B27" s="1968" t="s">
        <v>1430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1431</v>
      </c>
      <c r="F28" s="1972"/>
      <c r="G28" s="1959"/>
      <c r="H28" s="1974"/>
      <c r="I28" s="2036"/>
      <c r="J28" s="2042">
        <v>6</v>
      </c>
      <c r="K28" s="2043" t="s">
        <v>1432</v>
      </c>
      <c r="L28" s="2044" t="s">
        <v>1433</v>
      </c>
      <c r="M28" s="2045"/>
      <c r="N28" s="2044" t="s">
        <v>1434</v>
      </c>
      <c r="O28" s="2046"/>
      <c r="P28" s="2044" t="s">
        <v>1435</v>
      </c>
      <c r="Q28" s="2065">
        <v>0.015</v>
      </c>
      <c r="R28" s="2066"/>
      <c r="S28" s="2047"/>
      <c r="T28" s="2047"/>
      <c r="U28" s="2047"/>
      <c r="V28" s="2036"/>
    </row>
    <row r="29" s="1882" customFormat="1" customHeight="1" spans="1:22">
      <c r="A29" s="1960">
        <v>3</v>
      </c>
      <c r="B29" s="1961" t="s">
        <v>1436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1437</v>
      </c>
      <c r="K31" s="2001"/>
      <c r="L31" s="2001"/>
      <c r="M31" s="2001"/>
      <c r="N31" s="2001"/>
      <c r="O31" s="2001"/>
      <c r="P31" s="2001"/>
      <c r="Q31" s="2001"/>
      <c r="R31" s="2049"/>
      <c r="S31" s="2047"/>
      <c r="T31" s="2050"/>
      <c r="U31" s="2050"/>
      <c r="V31" s="2036"/>
    </row>
    <row r="32" s="1882" customFormat="1" customHeight="1" spans="1:22">
      <c r="A32" s="1960">
        <v>4</v>
      </c>
      <c r="B32" s="1961" t="s">
        <v>1438</v>
      </c>
      <c r="C32" s="1962">
        <f>C23-C26-C29</f>
        <v>0</v>
      </c>
      <c r="D32" s="1963">
        <f>D23-D26-D29</f>
        <v>0</v>
      </c>
      <c r="E32" s="1964">
        <f>E23-E26-E29</f>
        <v>0</v>
      </c>
      <c r="F32" s="1965"/>
      <c r="G32" s="1959"/>
      <c r="H32" s="1900"/>
      <c r="I32" s="2002"/>
      <c r="J32" s="2003" t="s">
        <v>1336</v>
      </c>
      <c r="K32" s="2004"/>
      <c r="L32" s="2005" t="s">
        <v>1337</v>
      </c>
      <c r="M32" s="2005" t="s">
        <v>1338</v>
      </c>
      <c r="N32" s="2005" t="s">
        <v>1339</v>
      </c>
      <c r="O32" s="2005" t="s">
        <v>1340</v>
      </c>
      <c r="P32" s="2005" t="s">
        <v>1341</v>
      </c>
      <c r="Q32" s="2051" t="s">
        <v>1342</v>
      </c>
      <c r="R32" s="2067" t="s">
        <v>1343</v>
      </c>
      <c r="S32" s="2047"/>
      <c r="T32" s="2050"/>
      <c r="U32" s="2050"/>
      <c r="V32" s="2036"/>
    </row>
    <row r="33" s="1881" customFormat="1" customHeight="1" spans="1:22">
      <c r="A33" s="1960"/>
      <c r="B33" s="1961"/>
      <c r="C33" s="1962"/>
      <c r="D33" s="1977"/>
      <c r="E33" s="1935"/>
      <c r="F33" s="1965"/>
      <c r="G33" s="1959"/>
      <c r="H33" s="1974"/>
      <c r="I33" s="2036"/>
      <c r="J33" s="2006" t="s">
        <v>1344</v>
      </c>
      <c r="K33" s="2007"/>
      <c r="L33" s="2008"/>
      <c r="M33" s="2008"/>
      <c r="N33" s="2008"/>
      <c r="O33" s="2008"/>
      <c r="P33" s="2008"/>
      <c r="Q33" s="2053"/>
      <c r="R33" s="2068">
        <f>SUM(L33:Q33)</f>
        <v>0</v>
      </c>
      <c r="S33" s="2047"/>
      <c r="T33" s="2050"/>
      <c r="U33" s="2050"/>
      <c r="V33" s="2002"/>
    </row>
    <row r="34" s="1881" customFormat="1" customHeight="1" spans="1:22">
      <c r="A34" s="1960">
        <v>5</v>
      </c>
      <c r="B34" s="1961" t="s">
        <v>1439</v>
      </c>
      <c r="C34" s="1978"/>
      <c r="D34" s="1979"/>
      <c r="E34" s="1980"/>
      <c r="F34" s="1965"/>
      <c r="G34" s="1959"/>
      <c r="H34" s="1974"/>
      <c r="I34" s="2036"/>
      <c r="J34" s="2006" t="s">
        <v>1346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1440</v>
      </c>
      <c r="C35" s="1981"/>
      <c r="D35" s="1982"/>
      <c r="E35" s="1983"/>
      <c r="F35" s="1965"/>
      <c r="G35" s="1984"/>
      <c r="H35" s="1900"/>
      <c r="I35" s="2036"/>
      <c r="J35" s="2010" t="s">
        <v>1348</v>
      </c>
      <c r="K35" s="2011"/>
      <c r="L35" s="2011"/>
      <c r="M35" s="2012"/>
      <c r="N35" s="2012"/>
      <c r="O35" s="2012"/>
      <c r="P35" s="2012"/>
      <c r="Q35" s="2012"/>
      <c r="R35" s="2070">
        <f>R40+R41+R43</f>
        <v>0</v>
      </c>
      <c r="S35" s="2047"/>
      <c r="T35" s="2050" t="s">
        <v>1349</v>
      </c>
      <c r="U35" s="2050"/>
      <c r="V35" s="2002"/>
    </row>
    <row r="36" s="1881" customFormat="1" customHeight="1" spans="1:22">
      <c r="A36" s="1960">
        <v>7</v>
      </c>
      <c r="B36" s="1985" t="s">
        <v>1441</v>
      </c>
      <c r="C36" s="1986"/>
      <c r="D36" s="1987"/>
      <c r="E36" s="1988"/>
      <c r="F36" s="1989">
        <f>C36+D36+E36</f>
        <v>0</v>
      </c>
      <c r="G36" s="1959"/>
      <c r="H36" s="1900"/>
      <c r="I36" s="2002"/>
      <c r="J36" s="2013">
        <v>1</v>
      </c>
      <c r="K36" s="2014" t="s">
        <v>1442</v>
      </c>
      <c r="L36" s="2015"/>
      <c r="M36" s="2016"/>
      <c r="N36" s="2016"/>
      <c r="O36" s="2016"/>
      <c r="P36" s="2016"/>
      <c r="Q36" s="2016"/>
      <c r="R36" s="2054" t="s">
        <v>1358</v>
      </c>
      <c r="S36" s="2047"/>
      <c r="T36" s="2050" t="s">
        <v>1359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1369</v>
      </c>
      <c r="U38" s="2050"/>
      <c r="V38" s="2002"/>
    </row>
    <row r="39" s="1881" customFormat="1" customHeight="1" spans="1:22">
      <c r="A39" s="1960">
        <v>9</v>
      </c>
      <c r="B39" s="1961" t="s">
        <v>1443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1444</v>
      </c>
      <c r="C40" s="1992" t="e">
        <f>C39+D39+E39</f>
        <v>#DIV/0!</v>
      </c>
      <c r="D40" s="1993"/>
      <c r="E40" s="1993"/>
      <c r="F40" s="1994"/>
      <c r="G40" s="1959"/>
      <c r="H40" s="1900"/>
      <c r="I40" s="2002"/>
      <c r="J40" s="2013"/>
      <c r="K40" s="2021"/>
      <c r="L40" s="2022" t="s">
        <v>1387</v>
      </c>
      <c r="M40" s="2023"/>
      <c r="N40" s="2023"/>
      <c r="O40" s="2024"/>
      <c r="P40" s="2024"/>
      <c r="Q40" s="2058"/>
      <c r="R40" s="2052">
        <f>SUM(R37:R39)</f>
        <v>0</v>
      </c>
      <c r="S40" s="2047"/>
      <c r="T40" s="2050"/>
      <c r="U40" s="2050"/>
      <c r="V40" s="2002"/>
    </row>
    <row r="41" s="1881" customFormat="1" customHeight="1" spans="1:22">
      <c r="A41" s="1995">
        <v>11</v>
      </c>
      <c r="B41" s="1996" t="s">
        <v>1445</v>
      </c>
      <c r="C41" s="1996" t="e">
        <f>ROUND(C40*10000/B4,0)</f>
        <v>#DIV/0!</v>
      </c>
      <c r="D41" s="1997"/>
      <c r="E41" s="1997"/>
      <c r="F41" s="1998"/>
      <c r="G41" s="1999"/>
      <c r="H41" s="1900"/>
      <c r="I41" s="2002"/>
      <c r="J41" s="2013">
        <v>2</v>
      </c>
      <c r="K41" s="2027" t="s">
        <v>1424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1426</v>
      </c>
      <c r="L42" s="2032"/>
      <c r="M42" s="2033"/>
      <c r="N42" s="2034" t="s">
        <v>454</v>
      </c>
      <c r="O42" s="2034" t="s">
        <v>1427</v>
      </c>
      <c r="P42" s="2035" t="s">
        <v>1428</v>
      </c>
      <c r="Q42" s="2035" t="s">
        <v>1429</v>
      </c>
      <c r="R42" s="2054" t="s">
        <v>1358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1432</v>
      </c>
      <c r="L44" s="2048" t="s">
        <v>1433</v>
      </c>
      <c r="M44" s="2045"/>
      <c r="N44" s="2048" t="s">
        <v>1434</v>
      </c>
      <c r="O44" s="2045"/>
      <c r="P44" s="2048" t="s">
        <v>1435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1446</v>
      </c>
      <c r="B1" s="1856"/>
      <c r="C1" s="1856"/>
      <c r="D1" s="1856"/>
      <c r="E1" s="1857"/>
      <c r="F1" s="1858"/>
      <c r="G1" s="1859"/>
      <c r="H1" s="1859"/>
      <c r="I1" s="1859"/>
      <c r="J1" s="1859"/>
      <c r="K1" s="1859"/>
      <c r="L1" s="1859"/>
      <c r="M1" s="1859"/>
      <c r="N1" s="1859"/>
      <c r="O1" s="1859"/>
      <c r="P1" s="1859"/>
      <c r="Q1" s="1859"/>
      <c r="R1" s="1859"/>
      <c r="S1" s="1859"/>
    </row>
    <row r="2" ht="15" spans="1:19">
      <c r="A2" s="1860" t="s">
        <v>979</v>
      </c>
      <c r="B2" s="1861">
        <f ca="1">SUMIF(B6:B13,"&lt;&gt;#ref!",B6:B13)</f>
        <v>0</v>
      </c>
      <c r="C2" s="1862" t="s">
        <v>1447</v>
      </c>
      <c r="D2" s="1863" t="s">
        <v>1448</v>
      </c>
      <c r="E2" s="1864">
        <f>SUM(E6:E13)</f>
        <v>0</v>
      </c>
      <c r="F2" s="1858"/>
      <c r="G2" s="1859"/>
      <c r="H2" s="1859"/>
      <c r="I2" s="1859"/>
      <c r="J2" s="1859"/>
      <c r="K2" s="1859"/>
      <c r="L2" s="1859"/>
      <c r="M2" s="1859"/>
      <c r="N2" s="1859"/>
      <c r="O2" s="1859"/>
      <c r="P2" s="1859"/>
      <c r="Q2" s="1859"/>
      <c r="R2" s="1859"/>
      <c r="S2" s="1859"/>
    </row>
    <row r="3" ht="15" spans="1:19">
      <c r="A3" s="1860" t="s">
        <v>981</v>
      </c>
      <c r="B3" s="1865" t="e">
        <f ca="1">ROUND(B2*10000/E2,0)</f>
        <v>#DIV/0!</v>
      </c>
      <c r="C3" s="1862" t="s">
        <v>1449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1450</v>
      </c>
      <c r="B5" s="1870" t="s">
        <v>1451</v>
      </c>
      <c r="C5" s="1871"/>
      <c r="D5" s="1872"/>
      <c r="E5" s="1873" t="s">
        <v>1452</v>
      </c>
      <c r="F5" s="1874" t="s">
        <v>1453</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1447</v>
      </c>
      <c r="D6" s="1866"/>
      <c r="E6" s="1876">
        <f>IF(OR(A6=0,F6="否"),0,'数据-取费表'!K6+'数据-取费表'!S6)</f>
        <v>0</v>
      </c>
      <c r="F6" s="1877" t="s">
        <v>1454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1447</v>
      </c>
      <c r="D7" s="1866"/>
      <c r="E7" s="1876">
        <f>IF(OR(A7=0,F7="否"),0,'数据-取费表'!K7+'数据-取费表'!S7)</f>
        <v>0</v>
      </c>
      <c r="F7" s="1877" t="s">
        <v>1454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1447</v>
      </c>
      <c r="D8" s="1866"/>
      <c r="E8" s="1876">
        <f>IF(OR(A8=0,F8="否"),0,'数据-取费表'!K8+'数据-取费表'!S8)</f>
        <v>0</v>
      </c>
      <c r="F8" s="1877" t="s">
        <v>1454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1447</v>
      </c>
      <c r="D9" s="1866"/>
      <c r="E9" s="1876">
        <f>IF(OR(A9=0,F9="否"),0,'数据-取费表'!K9+'数据-取费表'!S9)</f>
        <v>0</v>
      </c>
      <c r="F9" s="1877" t="s">
        <v>1454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1447</v>
      </c>
      <c r="D10" s="1866"/>
      <c r="E10" s="1876">
        <f>IF(OR(A10=0,F10="否"),0,'数据-取费表'!K10+'数据-取费表'!S10)</f>
        <v>0</v>
      </c>
      <c r="F10" s="1877" t="s">
        <v>1454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1447</v>
      </c>
      <c r="D11" s="1866"/>
      <c r="E11" s="1876">
        <f>IF(OR(A11=0,F11="否"),0,'数据-取费表'!K11+'数据-取费表'!S11)</f>
        <v>0</v>
      </c>
      <c r="F11" s="1877" t="s">
        <v>1454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1447</v>
      </c>
      <c r="D12" s="1866"/>
      <c r="E12" s="1876">
        <f>IF(OR(A12=0,F12="否"),0,'数据-取费表'!K12+'数据-取费表'!S12)</f>
        <v>0</v>
      </c>
      <c r="F12" s="1877" t="s">
        <v>1454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1447</v>
      </c>
      <c r="D13" s="1880"/>
      <c r="E13" s="1876">
        <f>IF(OR(A13=0,F13="否"),0,'数据-取费表'!K13+'数据-取费表'!S13)</f>
        <v>0</v>
      </c>
      <c r="F13" s="1877" t="s">
        <v>1454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72" sqref="Q7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1456</v>
      </c>
      <c r="C1" s="1593" t="s">
        <v>1457</v>
      </c>
      <c r="D1" s="1536"/>
      <c r="E1" s="1753"/>
      <c r="F1" s="1538"/>
      <c r="G1" s="1539" t="s">
        <v>1458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979</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981</v>
      </c>
      <c r="B3" s="1547" t="e">
        <f ca="1">IF(C2="——",C49,ROUND(B2*10000/D3,0))</f>
        <v>#DIV/0!</v>
      </c>
      <c r="C3" s="1546" t="s">
        <v>1459</v>
      </c>
      <c r="D3" s="1547">
        <f>IF(D1="",'数据-汇总表'!E3,SUMIF('数据-汇总表'!$C19:$C33,D1,'数据-汇总表'!$E19:$E33))</f>
        <v>0</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1460</v>
      </c>
      <c r="B4" s="1134"/>
      <c r="C4" s="1135" t="s">
        <v>1461</v>
      </c>
      <c r="D4" s="1136"/>
      <c r="E4" s="1137" t="s">
        <v>1462</v>
      </c>
      <c r="F4" s="1138"/>
      <c r="G4" s="1135" t="s">
        <v>1463</v>
      </c>
      <c r="H4" s="1136"/>
      <c r="I4" s="1135" t="s">
        <v>1464</v>
      </c>
      <c r="J4" s="1136"/>
      <c r="K4" s="1790"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73" t="s">
        <v>1463</v>
      </c>
      <c r="AC4" s="1373" t="s">
        <v>1464</v>
      </c>
    </row>
    <row r="5" spans="1:29">
      <c r="A5" s="1139"/>
      <c r="B5" s="1140"/>
      <c r="C5" s="1141" t="s">
        <v>1467</v>
      </c>
      <c r="D5" s="1142"/>
      <c r="E5" s="1143" t="s">
        <v>1468</v>
      </c>
      <c r="F5" s="1144"/>
      <c r="G5" s="1141" t="s">
        <v>1469</v>
      </c>
      <c r="H5" s="1142"/>
      <c r="I5" s="1141" t="s">
        <v>1470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791"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792"/>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19" si="3">D8/F8</f>
        <v>1</v>
      </c>
      <c r="AB8" s="1375">
        <f t="shared" ref="AB8:AB19" si="4">D8/H8</f>
        <v>1</v>
      </c>
      <c r="AC8" s="1375">
        <f t="shared" ref="AC8:AC19" si="5">D8/J8</f>
        <v>1</v>
      </c>
    </row>
    <row r="9" s="1114" customFormat="1" spans="1:29">
      <c r="A9" s="1159" t="s">
        <v>1478</v>
      </c>
      <c r="B9" s="1160" t="s">
        <v>1479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1475</v>
      </c>
      <c r="S25" s="1362">
        <f t="shared" ref="S25:S46" si="12">F25</f>
        <v>100</v>
      </c>
      <c r="T25" s="1361" t="s">
        <v>1475</v>
      </c>
      <c r="U25" s="1362">
        <f t="shared" ref="U25:U46" si="13">H25</f>
        <v>100</v>
      </c>
      <c r="V25" s="1361" t="s">
        <v>1475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1475</v>
      </c>
      <c r="S26" s="1362">
        <f t="shared" si="12"/>
        <v>100</v>
      </c>
      <c r="T26" s="1361" t="s">
        <v>1475</v>
      </c>
      <c r="U26" s="1362">
        <f t="shared" si="13"/>
        <v>100</v>
      </c>
      <c r="V26" s="1361" t="s">
        <v>1475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1475</v>
      </c>
      <c r="S27" s="1357">
        <f t="shared" si="12"/>
        <v>100</v>
      </c>
      <c r="T27" s="1356" t="s">
        <v>1475</v>
      </c>
      <c r="U27" s="1357">
        <f t="shared" si="13"/>
        <v>100</v>
      </c>
      <c r="V27" s="1356" t="s">
        <v>1475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1475</v>
      </c>
      <c r="S28" s="1362">
        <f t="shared" si="12"/>
        <v>100</v>
      </c>
      <c r="T28" s="1361" t="s">
        <v>1475</v>
      </c>
      <c r="U28" s="1362">
        <f t="shared" si="13"/>
        <v>100</v>
      </c>
      <c r="V28" s="1361" t="s">
        <v>1475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8"/>
        <v>111</v>
      </c>
      <c r="AA31" s="1377">
        <f t="shared" si="15"/>
        <v>1</v>
      </c>
      <c r="AB31" s="1377">
        <f t="shared" si="16"/>
        <v>1</v>
      </c>
      <c r="AC31" s="1377">
        <f t="shared" si="17"/>
        <v>1</v>
      </c>
    </row>
    <row r="32" ht="15.5" spans="1:29">
      <c r="A32" s="1181" t="s">
        <v>1493</v>
      </c>
      <c r="B32" s="1160" t="s">
        <v>1494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1495</v>
      </c>
      <c r="Q32" s="699" t="str">
        <f t="shared" si="11"/>
        <v>建筑类型</v>
      </c>
      <c r="R32" s="1361" t="s">
        <v>1475</v>
      </c>
      <c r="S32" s="1362">
        <f t="shared" si="12"/>
        <v>100</v>
      </c>
      <c r="T32" s="1361" t="s">
        <v>1475</v>
      </c>
      <c r="U32" s="1362">
        <f t="shared" si="13"/>
        <v>100</v>
      </c>
      <c r="V32" s="1361" t="s">
        <v>1475</v>
      </c>
      <c r="W32" s="1362">
        <f t="shared" si="14"/>
        <v>100</v>
      </c>
      <c r="X32" s="1348"/>
      <c r="Y32" s="1323" t="s">
        <v>1495</v>
      </c>
      <c r="Z32" s="1335" t="str">
        <f t="shared" si="18"/>
        <v>建筑类型</v>
      </c>
      <c r="AA32" s="1377">
        <f t="shared" si="15"/>
        <v>1</v>
      </c>
      <c r="AB32" s="1377">
        <f t="shared" si="16"/>
        <v>1</v>
      </c>
      <c r="AC32" s="1377">
        <f t="shared" si="17"/>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1497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1498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1475</v>
      </c>
      <c r="S35" s="1362">
        <f t="shared" si="12"/>
        <v>100</v>
      </c>
      <c r="T35" s="1361" t="s">
        <v>1475</v>
      </c>
      <c r="U35" s="1362">
        <f t="shared" si="13"/>
        <v>100</v>
      </c>
      <c r="V35" s="1361" t="s">
        <v>1475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1499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627</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1475</v>
      </c>
      <c r="S37" s="1357" t="e">
        <f t="shared" si="12"/>
        <v>#N/A</v>
      </c>
      <c r="T37" s="1356" t="s">
        <v>1475</v>
      </c>
      <c r="U37" s="1357" t="e">
        <f t="shared" si="13"/>
        <v>#N/A</v>
      </c>
      <c r="V37" s="1356" t="s">
        <v>1475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1495</v>
      </c>
      <c r="Q38" s="699" t="str">
        <f t="shared" si="11"/>
        <v>物业管理</v>
      </c>
      <c r="R38" s="1361" t="s">
        <v>1475</v>
      </c>
      <c r="S38" s="1362">
        <f t="shared" si="12"/>
        <v>100</v>
      </c>
      <c r="T38" s="1361" t="s">
        <v>1475</v>
      </c>
      <c r="U38" s="1362">
        <f t="shared" si="13"/>
        <v>100</v>
      </c>
      <c r="V38" s="1361" t="s">
        <v>1475</v>
      </c>
      <c r="W38" s="1362">
        <f t="shared" si="14"/>
        <v>100</v>
      </c>
      <c r="X38" s="1348"/>
      <c r="Y38" s="1323" t="s">
        <v>1495</v>
      </c>
      <c r="Z38" s="1335" t="str">
        <f t="shared" si="18"/>
        <v>物业管理</v>
      </c>
      <c r="AA38" s="1377">
        <f t="shared" si="15"/>
        <v>1</v>
      </c>
      <c r="AB38" s="1377">
        <f t="shared" si="16"/>
        <v>1</v>
      </c>
      <c r="AC38" s="1377">
        <f t="shared" si="17"/>
        <v>1</v>
      </c>
    </row>
    <row r="39" ht="15.5" spans="1:29">
      <c r="A39" s="1218"/>
      <c r="B39" s="1164" t="s">
        <v>1501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1475</v>
      </c>
      <c r="S39" s="1362">
        <f t="shared" si="12"/>
        <v>100</v>
      </c>
      <c r="T39" s="1361" t="s">
        <v>1475</v>
      </c>
      <c r="U39" s="1362">
        <f t="shared" si="13"/>
        <v>100</v>
      </c>
      <c r="V39" s="1361" t="s">
        <v>1475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1475</v>
      </c>
      <c r="S40" s="1362">
        <f t="shared" si="12"/>
        <v>100</v>
      </c>
      <c r="T40" s="1361" t="s">
        <v>1475</v>
      </c>
      <c r="U40" s="1362">
        <f t="shared" si="13"/>
        <v>100</v>
      </c>
      <c r="V40" s="1361" t="s">
        <v>1475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1475</v>
      </c>
      <c r="S41" s="1364">
        <f t="shared" si="12"/>
        <v>100</v>
      </c>
      <c r="T41" s="1363" t="s">
        <v>1475</v>
      </c>
      <c r="U41" s="1364">
        <f t="shared" si="13"/>
        <v>100</v>
      </c>
      <c r="V41" s="1363" t="s">
        <v>1475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1504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1505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8"/>
        <v>111</v>
      </c>
      <c r="AA46" s="1377">
        <f t="shared" si="15"/>
        <v>1</v>
      </c>
      <c r="AB46" s="1377">
        <f t="shared" si="16"/>
        <v>1</v>
      </c>
      <c r="AC46" s="1377">
        <f t="shared" si="17"/>
        <v>1</v>
      </c>
    </row>
    <row r="47" spans="1:29">
      <c r="A47" s="1225" t="s">
        <v>1506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799">
        <f>F48+H48+J48</f>
        <v>0</v>
      </c>
      <c r="L48" s="1327"/>
      <c r="M48" s="1242"/>
      <c r="N48" s="1242"/>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782" t="e">
        <f>R49</f>
        <v>#N/A</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row>
    <row r="53" ht="13.5" customHeight="1" spans="1:15">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row>
    <row r="54" s="1117" customFormat="1" ht="13.5" customHeight="1" spans="1:16">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1513</v>
      </c>
      <c r="B57" s="1283"/>
      <c r="C57" s="1284"/>
      <c r="D57" s="1284"/>
      <c r="E57" s="1284"/>
      <c r="F57" s="1285"/>
      <c r="G57" s="1285"/>
      <c r="H57" s="1284"/>
      <c r="I57" s="1284"/>
      <c r="J57" s="1284"/>
      <c r="K57" s="1528"/>
      <c r="L57" s="1529"/>
      <c r="M57" s="1343"/>
      <c r="N57" s="1343"/>
      <c r="O57" s="1343"/>
      <c r="P57" s="1802"/>
      <c r="Q57" s="1695"/>
    </row>
    <row r="58" s="1119" customFormat="1" spans="1:16">
      <c r="A58" s="1585" t="s">
        <v>1473</v>
      </c>
      <c r="B58" s="1586"/>
      <c r="C58" s="1783" t="str">
        <f>YEAR(C7)&amp;"-"&amp;MONTH(C7)</f>
        <v>1900-1</v>
      </c>
      <c r="D58" s="1588" t="e">
        <f>EDATE(C58,-1)</f>
        <v>#NUM!</v>
      </c>
      <c r="E58" s="1588" t="e">
        <f>EDATE(D58,-1)</f>
        <v>#NUM!</v>
      </c>
      <c r="F58" s="1588" t="e">
        <f t="shared" ref="F58:O58" si="19">EDATE(E58,-1)</f>
        <v>#NUM!</v>
      </c>
      <c r="G58" s="1588" t="e">
        <f t="shared" si="19"/>
        <v>#NUM!</v>
      </c>
      <c r="H58" s="1588" t="e">
        <f t="shared" si="19"/>
        <v>#NUM!</v>
      </c>
      <c r="I58" s="1588" t="e">
        <f t="shared" si="19"/>
        <v>#NUM!</v>
      </c>
      <c r="J58" s="1588" t="e">
        <f t="shared" si="19"/>
        <v>#NUM!</v>
      </c>
      <c r="K58" s="1588" t="e">
        <f t="shared" si="19"/>
        <v>#NUM!</v>
      </c>
      <c r="L58" s="1588" t="e">
        <f t="shared" si="19"/>
        <v>#NUM!</v>
      </c>
      <c r="M58" s="1588" t="e">
        <f t="shared" si="19"/>
        <v>#NUM!</v>
      </c>
      <c r="N58" s="1588" t="e">
        <f t="shared" si="19"/>
        <v>#NUM!</v>
      </c>
      <c r="O58" s="1588" t="e">
        <f t="shared" si="19"/>
        <v>#NUM!</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1514</v>
      </c>
      <c r="B60" s="1387"/>
      <c r="C60" s="1388"/>
      <c r="D60" s="1389"/>
      <c r="E60" s="1389"/>
      <c r="F60" s="1389"/>
      <c r="G60" s="1389"/>
      <c r="H60" s="1389"/>
      <c r="I60" s="1389"/>
      <c r="J60" s="1389"/>
      <c r="K60" s="1389"/>
      <c r="L60" s="1389"/>
      <c r="M60" s="1437"/>
      <c r="N60" s="1389"/>
      <c r="O60" s="1437"/>
      <c r="P60" s="1804"/>
      <c r="Q60" s="1695"/>
    </row>
    <row r="61" s="1114" customFormat="1" spans="1:17">
      <c r="A61" s="1390" t="s">
        <v>1476</v>
      </c>
      <c r="B61" s="1391"/>
      <c r="C61" s="1392" t="s">
        <v>1515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1516</v>
      </c>
      <c r="B63" s="1397" t="s">
        <v>1479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1482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1483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1484</v>
      </c>
      <c r="B76" s="1397" t="s">
        <v>1485</v>
      </c>
      <c r="C76" s="1418" t="s">
        <v>1517</v>
      </c>
      <c r="D76" s="1418" t="s">
        <v>1518</v>
      </c>
      <c r="E76" s="1418" t="s">
        <v>1519</v>
      </c>
      <c r="F76" s="1418" t="s">
        <v>1520</v>
      </c>
      <c r="G76" s="1418" t="s">
        <v>1521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1487</v>
      </c>
      <c r="C78" s="1420" t="s">
        <v>1517</v>
      </c>
      <c r="D78" s="1420" t="s">
        <v>1518</v>
      </c>
      <c r="E78" s="1420" t="s">
        <v>1519</v>
      </c>
      <c r="F78" s="1420" t="s">
        <v>1520</v>
      </c>
      <c r="G78" s="1420" t="s">
        <v>1521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1488</v>
      </c>
      <c r="C80" s="1420" t="s">
        <v>1517</v>
      </c>
      <c r="D80" s="1420" t="s">
        <v>1518</v>
      </c>
      <c r="E80" s="1420" t="s">
        <v>1519</v>
      </c>
      <c r="F80" s="1420" t="s">
        <v>1520</v>
      </c>
      <c r="G80" s="1420" t="s">
        <v>1521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1489</v>
      </c>
      <c r="C82" s="1402" t="s">
        <v>1522</v>
      </c>
      <c r="D82" s="1402" t="s">
        <v>1523</v>
      </c>
      <c r="E82" s="1402" t="s">
        <v>1524</v>
      </c>
      <c r="F82" s="1402" t="s">
        <v>1525</v>
      </c>
      <c r="G82" s="1402" t="s">
        <v>1526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1490</v>
      </c>
      <c r="C84" s="1420" t="s">
        <v>1517</v>
      </c>
      <c r="D84" s="1420" t="s">
        <v>1518</v>
      </c>
      <c r="E84" s="1420" t="s">
        <v>1519</v>
      </c>
      <c r="F84" s="1420" t="s">
        <v>1520</v>
      </c>
      <c r="G84" s="1420" t="s">
        <v>1521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1491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1492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1493</v>
      </c>
      <c r="B100" s="1397" t="s">
        <v>1494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1496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1497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1498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1499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627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1500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1501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1502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1503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1504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1505</v>
      </c>
      <c r="C124" s="1420" t="s">
        <v>1517</v>
      </c>
      <c r="D124" s="1420" t="s">
        <v>1518</v>
      </c>
      <c r="E124" s="1420" t="s">
        <v>1519</v>
      </c>
      <c r="F124" s="1420" t="s">
        <v>1520</v>
      </c>
      <c r="G124" s="1420" t="s">
        <v>1521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1527</v>
      </c>
    </row>
    <row r="137" ht="15.5" spans="2:11">
      <c r="B137" s="1818" t="s">
        <v>1528</v>
      </c>
      <c r="C137" s="1819"/>
      <c r="D137" s="1819"/>
      <c r="E137" s="1819"/>
      <c r="F137" s="1819"/>
      <c r="G137" s="1820"/>
      <c r="H137" s="1821"/>
      <c r="I137" s="1844" t="s">
        <v>1529</v>
      </c>
      <c r="J137" s="1819"/>
      <c r="K137" s="1845"/>
    </row>
    <row r="138" ht="15.5" spans="2:11">
      <c r="B138" s="1822"/>
      <c r="C138" s="1823" t="s">
        <v>1530</v>
      </c>
      <c r="D138" s="1823" t="s">
        <v>1531</v>
      </c>
      <c r="E138" s="1824" t="s">
        <v>1532</v>
      </c>
      <c r="F138" s="1825" t="s">
        <v>1533</v>
      </c>
      <c r="G138" s="1823" t="s">
        <v>1531</v>
      </c>
      <c r="H138" s="1826" t="s">
        <v>1532</v>
      </c>
      <c r="I138" s="1846"/>
      <c r="J138" s="1823" t="s">
        <v>1534</v>
      </c>
      <c r="K138" s="1826" t="s">
        <v>1535</v>
      </c>
    </row>
    <row r="139" ht="15.5" spans="2:11">
      <c r="B139" s="1827">
        <v>6</v>
      </c>
      <c r="C139" s="1828">
        <v>96</v>
      </c>
      <c r="D139" s="1829" t="s">
        <v>1536</v>
      </c>
      <c r="E139" s="1830">
        <v>100</v>
      </c>
      <c r="F139" s="1831">
        <v>102.5</v>
      </c>
      <c r="G139" s="1829" t="s">
        <v>1536</v>
      </c>
      <c r="H139" s="1832">
        <v>105</v>
      </c>
      <c r="I139" s="1847" t="s">
        <v>1537</v>
      </c>
      <c r="J139" s="1828">
        <v>20</v>
      </c>
      <c r="K139" s="1848">
        <f>C145/(J139-2)</f>
        <v>0.00405555555555556</v>
      </c>
    </row>
    <row r="140" ht="15.5" spans="2:11">
      <c r="B140" s="1833">
        <v>5</v>
      </c>
      <c r="C140" s="1834">
        <v>100</v>
      </c>
      <c r="D140" s="1834"/>
      <c r="E140" s="1835"/>
      <c r="F140" s="1836">
        <v>102</v>
      </c>
      <c r="G140" s="1834"/>
      <c r="H140" s="1837"/>
      <c r="I140" s="1849" t="s">
        <v>1538</v>
      </c>
      <c r="J140" s="473">
        <f>ROUNDUP((J139-1)/2,0)</f>
        <v>10</v>
      </c>
      <c r="K140" s="1850">
        <v>100</v>
      </c>
    </row>
    <row r="141" ht="15.5" spans="2:11">
      <c r="B141" s="1833">
        <v>4</v>
      </c>
      <c r="C141" s="1834">
        <v>102</v>
      </c>
      <c r="D141" s="1834"/>
      <c r="E141" s="1835"/>
      <c r="F141" s="1836">
        <v>101.5</v>
      </c>
      <c r="G141" s="1834"/>
      <c r="H141" s="1837"/>
      <c r="I141" s="1849" t="s">
        <v>1539</v>
      </c>
      <c r="J141" s="473">
        <v>1</v>
      </c>
      <c r="K141" s="1851">
        <f>ROUND(100+(J141-J140)*K139*100,1)</f>
        <v>96.4</v>
      </c>
    </row>
    <row r="142" ht="15.5" spans="2:11">
      <c r="B142" s="1833">
        <v>3</v>
      </c>
      <c r="C142" s="1834">
        <v>103</v>
      </c>
      <c r="D142" s="1834"/>
      <c r="E142" s="1835"/>
      <c r="F142" s="1836">
        <v>101</v>
      </c>
      <c r="G142" s="1834"/>
      <c r="H142" s="1837"/>
      <c r="I142" s="1849" t="s">
        <v>1540</v>
      </c>
      <c r="J142" s="473">
        <f>J139</f>
        <v>20</v>
      </c>
      <c r="K142" s="1852">
        <v>95</v>
      </c>
    </row>
    <row r="143" ht="15.5" spans="2:11">
      <c r="B143" s="1833">
        <v>2</v>
      </c>
      <c r="C143" s="1834">
        <v>100</v>
      </c>
      <c r="D143" s="1834"/>
      <c r="E143" s="1835"/>
      <c r="F143" s="1836">
        <v>100.5</v>
      </c>
      <c r="G143" s="1834"/>
      <c r="H143" s="1837"/>
      <c r="I143" s="1849" t="s">
        <v>1541</v>
      </c>
      <c r="J143" s="1834">
        <v>15</v>
      </c>
      <c r="K143" s="1851">
        <f>ROUND(100+(J143-J140)*K139*100,1)</f>
        <v>102</v>
      </c>
    </row>
    <row r="144" ht="15.5" spans="2:11">
      <c r="B144" s="1833">
        <v>1</v>
      </c>
      <c r="C144" s="1834">
        <v>98</v>
      </c>
      <c r="D144" s="1838" t="s">
        <v>1542</v>
      </c>
      <c r="E144" s="1835">
        <v>102</v>
      </c>
      <c r="F144" s="1839">
        <v>100</v>
      </c>
      <c r="G144" s="1838" t="s">
        <v>1542</v>
      </c>
      <c r="H144" s="1837">
        <v>105</v>
      </c>
      <c r="I144" s="1849" t="s">
        <v>1541</v>
      </c>
      <c r="J144" s="1834">
        <v>18</v>
      </c>
      <c r="K144" s="1851">
        <f>ROUND(100+(J144-J140)*K139*100,1)</f>
        <v>103.2</v>
      </c>
    </row>
    <row r="145" ht="16.25" spans="2:11">
      <c r="B145" s="1840" t="s">
        <v>1543</v>
      </c>
      <c r="C145" s="1841">
        <f>ROUND(MAX(C139:C144)/MIN(C139:C144)-1,3)</f>
        <v>0.073</v>
      </c>
      <c r="D145" s="1842"/>
      <c r="E145" s="1842"/>
      <c r="F145" s="1843" t="s">
        <v>1544</v>
      </c>
      <c r="G145" s="1741"/>
      <c r="H145" s="1746"/>
      <c r="I145" s="1853" t="s">
        <v>1541</v>
      </c>
      <c r="J145" s="1854">
        <v>8</v>
      </c>
      <c r="K145" s="1855">
        <f>ROUND(100+(J145-J140)*K139*100,1)</f>
        <v>99.2</v>
      </c>
    </row>
    <row r="147" spans="2:2">
      <c r="B147" s="1817" t="s">
        <v>1545</v>
      </c>
    </row>
    <row r="148" spans="2:2">
      <c r="B148" s="181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1547</v>
      </c>
      <c r="C1" s="1593" t="s">
        <v>1457</v>
      </c>
      <c r="D1" s="1536"/>
      <c r="E1" s="1753"/>
      <c r="F1" s="1538"/>
      <c r="G1" s="1539" t="s">
        <v>1458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979</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981</v>
      </c>
      <c r="B3" s="1131" t="e">
        <f ca="1">IF(C2="——",C49,ROUND(B2*10000/D3,0))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35"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6" si="3">D8/F8</f>
        <v>1</v>
      </c>
      <c r="AB8" s="1375">
        <f t="shared" ref="AB8:AB46" si="4">D8/H8</f>
        <v>1</v>
      </c>
      <c r="AC8" s="1375">
        <f t="shared" ref="AC8:AC46" si="5">D8/J8</f>
        <v>1</v>
      </c>
    </row>
    <row r="9" s="1114" customFormat="1" spans="1:29">
      <c r="A9" s="1159" t="s">
        <v>1478</v>
      </c>
      <c r="B9" s="1160" t="s">
        <v>1479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1548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1486</v>
      </c>
      <c r="Q15" s="699" t="str">
        <f t="shared" si="6"/>
        <v>商业繁华度</v>
      </c>
      <c r="R15" s="1361" t="s">
        <v>1475</v>
      </c>
      <c r="S15" s="1362">
        <f t="shared" si="0"/>
        <v>100</v>
      </c>
      <c r="T15" s="1361" t="s">
        <v>1475</v>
      </c>
      <c r="U15" s="1362">
        <f t="shared" si="1"/>
        <v>100</v>
      </c>
      <c r="V15" s="1361" t="s">
        <v>1475</v>
      </c>
      <c r="W15" s="1362">
        <f t="shared" si="2"/>
        <v>100</v>
      </c>
      <c r="X15" s="1348"/>
      <c r="Y15" s="1313" t="s">
        <v>1486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1549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1475</v>
      </c>
      <c r="S25" s="1362">
        <f>F25</f>
        <v>100</v>
      </c>
      <c r="T25" s="1361" t="s">
        <v>1475</v>
      </c>
      <c r="U25" s="1362">
        <f>H25</f>
        <v>100</v>
      </c>
      <c r="V25" s="1361" t="s">
        <v>1475</v>
      </c>
      <c r="W25" s="1362">
        <f>J25</f>
        <v>100</v>
      </c>
      <c r="X25" s="1348"/>
      <c r="Y25" s="1314"/>
      <c r="Z25" s="1335" t="str">
        <f>Q25</f>
        <v>临街状况</v>
      </c>
      <c r="AA25" s="1377">
        <f t="shared" si="3"/>
        <v>1</v>
      </c>
      <c r="AB25" s="1377">
        <f t="shared" si="4"/>
        <v>1</v>
      </c>
      <c r="AC25" s="1377">
        <f t="shared" si="5"/>
        <v>1</v>
      </c>
    </row>
    <row r="26" ht="15.5" spans="1:29">
      <c r="A26" s="1167"/>
      <c r="B26" s="1510" t="s">
        <v>1550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1475</v>
      </c>
      <c r="S26" s="1362">
        <f>F26</f>
        <v>100</v>
      </c>
      <c r="T26" s="1361" t="s">
        <v>1475</v>
      </c>
      <c r="U26" s="1362">
        <f>H26</f>
        <v>100</v>
      </c>
      <c r="V26" s="1361" t="s">
        <v>1475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1551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1475</v>
      </c>
      <c r="S27" s="1357">
        <f>F27</f>
        <v>100</v>
      </c>
      <c r="T27" s="1356" t="s">
        <v>1475</v>
      </c>
      <c r="U27" s="1357">
        <f>H27</f>
        <v>100</v>
      </c>
      <c r="V27" s="1356" t="s">
        <v>1475</v>
      </c>
      <c r="W27" s="1357">
        <f>J27</f>
        <v>100</v>
      </c>
      <c r="X27" s="1358"/>
      <c r="Y27" s="1314"/>
      <c r="Z27" s="1376" t="str">
        <f>Q27</f>
        <v>人流量</v>
      </c>
      <c r="AA27" s="1377">
        <f t="shared" si="3"/>
        <v>1</v>
      </c>
      <c r="AB27" s="1377">
        <f t="shared" si="4"/>
        <v>1</v>
      </c>
      <c r="AC27" s="1377">
        <f t="shared" si="5"/>
        <v>1</v>
      </c>
    </row>
    <row r="28" ht="15.5" spans="1:29">
      <c r="A28" s="1167"/>
      <c r="B28" s="1164" t="s">
        <v>1552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1475</v>
      </c>
      <c r="S28" s="1362">
        <f t="shared" ref="S28:S46" si="12">F28</f>
        <v>100</v>
      </c>
      <c r="T28" s="1361" t="s">
        <v>1475</v>
      </c>
      <c r="U28" s="1362">
        <f t="shared" ref="U28:U46" si="13">H28</f>
        <v>100</v>
      </c>
      <c r="V28" s="1361" t="s">
        <v>1475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377">
        <f t="shared" si="5"/>
        <v>1</v>
      </c>
    </row>
    <row r="32" ht="15.5" spans="1:29">
      <c r="A32" s="1181" t="s">
        <v>1493</v>
      </c>
      <c r="B32" s="1160" t="s">
        <v>1553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1495</v>
      </c>
      <c r="Q32" s="699" t="str">
        <f t="shared" si="11"/>
        <v>商业类型</v>
      </c>
      <c r="R32" s="1361" t="s">
        <v>1475</v>
      </c>
      <c r="S32" s="1362">
        <f t="shared" si="12"/>
        <v>100</v>
      </c>
      <c r="T32" s="1361" t="s">
        <v>1475</v>
      </c>
      <c r="U32" s="1362">
        <f t="shared" si="13"/>
        <v>100</v>
      </c>
      <c r="V32" s="1361" t="s">
        <v>1475</v>
      </c>
      <c r="W32" s="1362">
        <f t="shared" si="14"/>
        <v>100</v>
      </c>
      <c r="X32" s="1348"/>
      <c r="Y32" s="1323" t="s">
        <v>1495</v>
      </c>
      <c r="Z32" s="1335" t="str">
        <f t="shared" si="15"/>
        <v>商业类型</v>
      </c>
      <c r="AA32" s="1377">
        <f t="shared" si="3"/>
        <v>1</v>
      </c>
      <c r="AB32" s="1377">
        <f t="shared" si="4"/>
        <v>1</v>
      </c>
      <c r="AC32" s="1377">
        <f t="shared" si="5"/>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1497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5"/>
        <v>建筑结构</v>
      </c>
      <c r="AA34" s="1377">
        <f t="shared" si="3"/>
        <v>1</v>
      </c>
      <c r="AB34" s="1377">
        <f t="shared" si="4"/>
        <v>1</v>
      </c>
      <c r="AC34" s="1377">
        <f t="shared" si="5"/>
        <v>1</v>
      </c>
    </row>
    <row r="35" ht="15.5" spans="1:29">
      <c r="A35" s="1218"/>
      <c r="B35" s="1164" t="s">
        <v>1499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1475</v>
      </c>
      <c r="S35" s="1362">
        <f t="shared" si="12"/>
        <v>100</v>
      </c>
      <c r="T35" s="1361" t="s">
        <v>1475</v>
      </c>
      <c r="U35" s="1362">
        <f t="shared" si="13"/>
        <v>100</v>
      </c>
      <c r="V35" s="1361" t="s">
        <v>1475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627</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1475</v>
      </c>
      <c r="S36" s="1362" t="e">
        <f t="shared" si="12"/>
        <v>#N/A</v>
      </c>
      <c r="T36" s="1361" t="s">
        <v>1475</v>
      </c>
      <c r="U36" s="1362" t="e">
        <f t="shared" si="13"/>
        <v>#N/A</v>
      </c>
      <c r="V36" s="1361" t="s">
        <v>1475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1475</v>
      </c>
      <c r="S37" s="1357">
        <f t="shared" si="12"/>
        <v>100</v>
      </c>
      <c r="T37" s="1356" t="s">
        <v>1475</v>
      </c>
      <c r="U37" s="1357">
        <f t="shared" si="13"/>
        <v>100</v>
      </c>
      <c r="V37" s="1356" t="s">
        <v>1475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1554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1495</v>
      </c>
      <c r="Q38" s="699" t="str">
        <f t="shared" si="11"/>
        <v>业态</v>
      </c>
      <c r="R38" s="1361" t="s">
        <v>1475</v>
      </c>
      <c r="S38" s="1362">
        <f t="shared" si="12"/>
        <v>100</v>
      </c>
      <c r="T38" s="1361" t="s">
        <v>1475</v>
      </c>
      <c r="U38" s="1362">
        <f t="shared" si="13"/>
        <v>100</v>
      </c>
      <c r="V38" s="1361" t="s">
        <v>1475</v>
      </c>
      <c r="W38" s="1362">
        <f t="shared" si="14"/>
        <v>100</v>
      </c>
      <c r="X38" s="1348"/>
      <c r="Y38" s="1323" t="s">
        <v>1495</v>
      </c>
      <c r="Z38" s="1335" t="str">
        <f t="shared" si="15"/>
        <v>业态</v>
      </c>
      <c r="AA38" s="1377">
        <f t="shared" si="3"/>
        <v>1</v>
      </c>
      <c r="AB38" s="1377">
        <f t="shared" si="4"/>
        <v>1</v>
      </c>
      <c r="AC38" s="1377">
        <f t="shared" si="5"/>
        <v>1</v>
      </c>
    </row>
    <row r="39" ht="15.5" spans="1:29">
      <c r="A39" s="1218"/>
      <c r="B39" s="1164" t="s">
        <v>1555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1475</v>
      </c>
      <c r="S39" s="1362">
        <f t="shared" si="12"/>
        <v>100</v>
      </c>
      <c r="T39" s="1361" t="s">
        <v>1475</v>
      </c>
      <c r="U39" s="1362">
        <f t="shared" si="13"/>
        <v>100</v>
      </c>
      <c r="V39" s="1361" t="s">
        <v>1475</v>
      </c>
      <c r="W39" s="1362">
        <f t="shared" si="14"/>
        <v>100</v>
      </c>
      <c r="X39" s="1348"/>
      <c r="Y39" s="1323"/>
      <c r="Z39" s="1335" t="str">
        <f t="shared" si="15"/>
        <v>层高</v>
      </c>
      <c r="AA39" s="1377">
        <f t="shared" si="3"/>
        <v>1</v>
      </c>
      <c r="AB39" s="1377">
        <f t="shared" si="4"/>
        <v>1</v>
      </c>
      <c r="AC39" s="1377">
        <f t="shared" si="5"/>
        <v>1</v>
      </c>
    </row>
    <row r="40" ht="15.5" spans="1:29">
      <c r="A40" s="1218"/>
      <c r="B40" s="1164" t="s">
        <v>1556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1475</v>
      </c>
      <c r="S40" s="1362">
        <f t="shared" si="12"/>
        <v>100</v>
      </c>
      <c r="T40" s="1361" t="s">
        <v>1475</v>
      </c>
      <c r="U40" s="1362">
        <f t="shared" si="13"/>
        <v>100</v>
      </c>
      <c r="V40" s="1361" t="s">
        <v>1475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1557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1475</v>
      </c>
      <c r="S41" s="1364">
        <f t="shared" si="12"/>
        <v>100</v>
      </c>
      <c r="T41" s="1363" t="s">
        <v>1475</v>
      </c>
      <c r="U41" s="1364">
        <f t="shared" si="13"/>
        <v>100</v>
      </c>
      <c r="V41" s="1363" t="s">
        <v>1475</v>
      </c>
      <c r="W41" s="1364">
        <f t="shared" si="14"/>
        <v>100</v>
      </c>
      <c r="X41" s="1365"/>
      <c r="Y41" s="1323"/>
      <c r="Z41" s="1378" t="str">
        <f t="shared" si="15"/>
        <v>进深比</v>
      </c>
      <c r="AA41" s="1377">
        <f t="shared" si="3"/>
        <v>1</v>
      </c>
      <c r="AB41" s="1377">
        <f t="shared" si="4"/>
        <v>1</v>
      </c>
      <c r="AC41" s="1377">
        <f t="shared" si="5"/>
        <v>1</v>
      </c>
    </row>
    <row r="42" ht="15.5" spans="1:29">
      <c r="A42" s="1218"/>
      <c r="B42" s="1164" t="s">
        <v>1504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5"/>
        <v>内部装修</v>
      </c>
      <c r="AA42" s="1377">
        <f t="shared" si="3"/>
        <v>1</v>
      </c>
      <c r="AB42" s="1377">
        <f t="shared" si="4"/>
        <v>1</v>
      </c>
      <c r="AC42" s="1377">
        <f t="shared" si="5"/>
        <v>1</v>
      </c>
    </row>
    <row r="43" ht="28" spans="1:29">
      <c r="A43" s="1218"/>
      <c r="B43" s="1164" t="s">
        <v>1505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5"/>
        <v>111</v>
      </c>
      <c r="AA46" s="1377">
        <f t="shared" si="3"/>
        <v>1</v>
      </c>
      <c r="AB46" s="1377">
        <f t="shared" si="4"/>
        <v>1</v>
      </c>
      <c r="AC46" s="1377">
        <f t="shared" si="5"/>
        <v>1</v>
      </c>
    </row>
    <row r="47" spans="1:29">
      <c r="A47" s="1225" t="s">
        <v>1506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328">
        <f>F48+H48+J48</f>
        <v>0</v>
      </c>
      <c r="L48" s="1327"/>
      <c r="M48" s="1242"/>
      <c r="N48" s="1295"/>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583" t="e">
        <f>R49</f>
        <v>#N/A</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1513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1473</v>
      </c>
      <c r="B58" s="1586"/>
      <c r="C58" s="1587" t="str">
        <f>YEAR(C7)&amp;"-"&amp;MONTH(C7)</f>
        <v>1900-1</v>
      </c>
      <c r="D58" s="1588" t="e">
        <f>EDATE(C58,-1)</f>
        <v>#NUM!</v>
      </c>
      <c r="E58" s="1588" t="e">
        <f t="shared" ref="E58:O58" si="16">EDATE(D58,-1)</f>
        <v>#NUM!</v>
      </c>
      <c r="F58" s="1588" t="e">
        <f t="shared" si="16"/>
        <v>#NUM!</v>
      </c>
      <c r="G58" s="1588" t="e">
        <f t="shared" si="16"/>
        <v>#NUM!</v>
      </c>
      <c r="H58" s="1588" t="e">
        <f t="shared" si="16"/>
        <v>#NUM!</v>
      </c>
      <c r="I58" s="1588" t="e">
        <f t="shared" si="16"/>
        <v>#NUM!</v>
      </c>
      <c r="J58" s="1588" t="e">
        <f t="shared" si="16"/>
        <v>#NUM!</v>
      </c>
      <c r="K58" s="1588" t="e">
        <f t="shared" si="16"/>
        <v>#NUM!</v>
      </c>
      <c r="L58" s="1588" t="e">
        <f t="shared" si="16"/>
        <v>#NUM!</v>
      </c>
      <c r="M58" s="1588" t="e">
        <f t="shared" si="16"/>
        <v>#NUM!</v>
      </c>
      <c r="N58" s="1588" t="e">
        <f t="shared" si="16"/>
        <v>#NUM!</v>
      </c>
      <c r="O58" s="1588" t="e">
        <f t="shared" si="16"/>
        <v>#NUM!</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1514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1476</v>
      </c>
      <c r="B61" s="1391"/>
      <c r="C61" s="1392" t="s">
        <v>1515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1516</v>
      </c>
      <c r="B63" s="1397" t="s">
        <v>1479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1482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1483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1484</v>
      </c>
      <c r="B76" s="1397" t="s">
        <v>1485</v>
      </c>
      <c r="C76" s="1418" t="s">
        <v>1517</v>
      </c>
      <c r="D76" s="1418" t="s">
        <v>1518</v>
      </c>
      <c r="E76" s="1418" t="s">
        <v>1519</v>
      </c>
      <c r="F76" s="1418" t="s">
        <v>1520</v>
      </c>
      <c r="G76" s="1418" t="s">
        <v>1521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1487</v>
      </c>
      <c r="C78" s="1420" t="s">
        <v>1517</v>
      </c>
      <c r="D78" s="1420" t="s">
        <v>1518</v>
      </c>
      <c r="E78" s="1420" t="s">
        <v>1519</v>
      </c>
      <c r="F78" s="1420" t="s">
        <v>1520</v>
      </c>
      <c r="G78" s="1420" t="s">
        <v>1521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1488</v>
      </c>
      <c r="C80" s="1420" t="s">
        <v>1517</v>
      </c>
      <c r="D80" s="1420" t="s">
        <v>1518</v>
      </c>
      <c r="E80" s="1420" t="s">
        <v>1519</v>
      </c>
      <c r="F80" s="1420" t="s">
        <v>1520</v>
      </c>
      <c r="G80" s="1420" t="s">
        <v>1521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1489</v>
      </c>
      <c r="C82" s="1425" t="s">
        <v>1522</v>
      </c>
      <c r="D82" s="1425" t="s">
        <v>1523</v>
      </c>
      <c r="E82" s="1425" t="s">
        <v>1524</v>
      </c>
      <c r="F82" s="1425" t="s">
        <v>1525</v>
      </c>
      <c r="G82" s="1425" t="s">
        <v>1526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1490</v>
      </c>
      <c r="C84" s="1420" t="s">
        <v>1517</v>
      </c>
      <c r="D84" s="1420" t="s">
        <v>1518</v>
      </c>
      <c r="E84" s="1420" t="s">
        <v>1519</v>
      </c>
      <c r="F84" s="1420" t="s">
        <v>1520</v>
      </c>
      <c r="G84" s="1420" t="s">
        <v>1521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1549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1493</v>
      </c>
      <c r="B100" s="1397" t="s">
        <v>1553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1496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1497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1499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627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1501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1554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1555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1556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1558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1504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1505</v>
      </c>
      <c r="C124" s="1420" t="s">
        <v>1517</v>
      </c>
      <c r="D124" s="1420" t="s">
        <v>1518</v>
      </c>
      <c r="E124" s="1420" t="s">
        <v>1519</v>
      </c>
      <c r="F124" s="1420" t="s">
        <v>1520</v>
      </c>
      <c r="G124" s="1420" t="s">
        <v>1521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 workbookViewId="0">
      <selection activeCell="Q72" sqref="Q7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1559</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IF(C2="——",C50,ROUND(B2*10000/D3,0))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725" t="s">
        <v>1466</v>
      </c>
      <c r="Q4" s="1735"/>
      <c r="R4" s="1736" t="s">
        <v>1462</v>
      </c>
      <c r="S4" s="1737"/>
      <c r="T4" s="1736" t="s">
        <v>1463</v>
      </c>
      <c r="U4" s="1737"/>
      <c r="V4" s="1255" t="s">
        <v>1464</v>
      </c>
      <c r="W4" s="1255"/>
      <c r="X4" s="1738"/>
      <c r="Y4" s="1736" t="s">
        <v>1466</v>
      </c>
      <c r="Z4" s="1737"/>
      <c r="AA4" s="1738" t="s">
        <v>1462</v>
      </c>
      <c r="AB4" s="1738" t="s">
        <v>1463</v>
      </c>
      <c r="AC4" s="1742" t="s">
        <v>1464</v>
      </c>
    </row>
    <row r="5" spans="1:29">
      <c r="A5" s="1139"/>
      <c r="B5" s="1140"/>
      <c r="C5" s="1141" t="s">
        <v>1467</v>
      </c>
      <c r="D5" s="1142"/>
      <c r="E5" s="1143" t="s">
        <v>1468</v>
      </c>
      <c r="F5" s="1144"/>
      <c r="G5" s="1141" t="s">
        <v>1469</v>
      </c>
      <c r="H5" s="1142"/>
      <c r="I5" s="1141" t="s">
        <v>1470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1471</v>
      </c>
      <c r="D6" s="1497"/>
      <c r="E6" s="1498" t="s">
        <v>1471</v>
      </c>
      <c r="F6" s="1499"/>
      <c r="G6" s="1496" t="s">
        <v>1471</v>
      </c>
      <c r="H6" s="1497"/>
      <c r="I6" s="1496" t="s">
        <v>1471</v>
      </c>
      <c r="J6" s="1497"/>
      <c r="K6" s="1293" t="s">
        <v>1472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1473</v>
      </c>
      <c r="B7" s="1152"/>
      <c r="C7" s="1153">
        <f>'数据-取费表'!B2</f>
        <v>0</v>
      </c>
      <c r="D7" s="1154">
        <v>100</v>
      </c>
      <c r="E7" s="1155"/>
      <c r="F7" s="1156">
        <f>SUMIF(59:59,YEAR(E7)&amp;"-"&amp;MONTH(E7),60:60)</f>
        <v>100</v>
      </c>
      <c r="G7" s="1155"/>
      <c r="H7" s="1154">
        <f>SUMIF(59:59,YEAR(G7)&amp;"-"&amp;MONTH(G7),60:60)</f>
        <v>100</v>
      </c>
      <c r="I7" s="1155"/>
      <c r="J7" s="1154">
        <f>SUMIF(59:59,YEAR(I7)&amp;"-"&amp;MONTH(I7),60:60)</f>
        <v>100</v>
      </c>
      <c r="K7" s="1299"/>
      <c r="L7" s="1300"/>
      <c r="M7" s="1301"/>
      <c r="N7" s="1301"/>
      <c r="O7" s="1301"/>
      <c r="P7" s="1728"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744">
        <f>D7/J7</f>
        <v>1</v>
      </c>
    </row>
    <row r="8" s="1114" customFormat="1" ht="14.75" spans="1:29">
      <c r="A8" s="1151" t="s">
        <v>1476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1477</v>
      </c>
      <c r="Q8" s="1359"/>
      <c r="R8" s="1356" t="s">
        <v>1475</v>
      </c>
      <c r="S8" s="1357">
        <f t="shared" si="0"/>
        <v>100</v>
      </c>
      <c r="T8" s="1356" t="s">
        <v>1475</v>
      </c>
      <c r="U8" s="1357">
        <f t="shared" si="1"/>
        <v>100</v>
      </c>
      <c r="V8" s="1356" t="s">
        <v>1475</v>
      </c>
      <c r="W8" s="1357">
        <f t="shared" si="2"/>
        <v>100</v>
      </c>
      <c r="X8" s="1358"/>
      <c r="Y8" s="1302" t="s">
        <v>1477</v>
      </c>
      <c r="Z8" s="1359"/>
      <c r="AA8" s="1375">
        <f t="shared" ref="AA8:AA47" si="3">D8/F8</f>
        <v>1</v>
      </c>
      <c r="AB8" s="1375">
        <f t="shared" ref="AB8:AB47" si="4">D8/H8</f>
        <v>1</v>
      </c>
      <c r="AC8" s="1744">
        <f t="shared" ref="AC8:AC47" si="5">D8/J8</f>
        <v>1</v>
      </c>
    </row>
    <row r="9" s="1114" customFormat="1" spans="1:29">
      <c r="A9" s="1159" t="s">
        <v>1478</v>
      </c>
      <c r="B9" s="1160" t="s">
        <v>1479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744">
        <f t="shared" si="5"/>
        <v>1</v>
      </c>
    </row>
    <row r="10" s="1115" customFormat="1" ht="28" spans="1:29">
      <c r="A10" s="1163"/>
      <c r="B10" s="1164" t="s">
        <v>1482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744">
        <f t="shared" si="5"/>
        <v>1</v>
      </c>
    </row>
    <row r="15" ht="70" spans="1:29">
      <c r="A15" s="1181" t="s">
        <v>1484</v>
      </c>
      <c r="B15" s="1182" t="s">
        <v>1560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1486</v>
      </c>
      <c r="Q15" s="699" t="str">
        <f t="shared" si="6"/>
        <v>办公集聚程度</v>
      </c>
      <c r="R15" s="1361" t="s">
        <v>1475</v>
      </c>
      <c r="S15" s="1362">
        <f t="shared" si="0"/>
        <v>100</v>
      </c>
      <c r="T15" s="1361" t="s">
        <v>1475</v>
      </c>
      <c r="U15" s="1362">
        <f t="shared" si="1"/>
        <v>100</v>
      </c>
      <c r="V15" s="1361" t="s">
        <v>1475</v>
      </c>
      <c r="W15" s="1362">
        <f t="shared" si="2"/>
        <v>100</v>
      </c>
      <c r="X15" s="1348"/>
      <c r="Y15" s="1313" t="s">
        <v>1486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1487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1488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1489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1561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1562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1475</v>
      </c>
      <c r="S25" s="1362">
        <f>F25</f>
        <v>100</v>
      </c>
      <c r="T25" s="1361" t="s">
        <v>1475</v>
      </c>
      <c r="U25" s="1362">
        <f>H25</f>
        <v>100</v>
      </c>
      <c r="V25" s="1361" t="s">
        <v>1475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1552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1475</v>
      </c>
      <c r="S27" s="1362">
        <f>F27</f>
        <v>100</v>
      </c>
      <c r="T27" s="1361" t="s">
        <v>1475</v>
      </c>
      <c r="U27" s="1362">
        <f>H27</f>
        <v>100</v>
      </c>
      <c r="V27" s="1361" t="s">
        <v>1475</v>
      </c>
      <c r="W27" s="1362">
        <f>J27</f>
        <v>100</v>
      </c>
      <c r="X27" s="1348"/>
      <c r="Y27" s="1314"/>
      <c r="Z27" s="1335" t="str">
        <f>Q27</f>
        <v>楼层</v>
      </c>
      <c r="AA27" s="1377">
        <f t="shared" si="3"/>
        <v>1</v>
      </c>
      <c r="AB27" s="1377">
        <f t="shared" si="4"/>
        <v>1</v>
      </c>
      <c r="AC27" s="1745">
        <f t="shared" si="5"/>
        <v>1</v>
      </c>
    </row>
    <row r="28" s="1114" customFormat="1" ht="15.5" spans="1:29">
      <c r="A28" s="1170"/>
      <c r="B28" s="1191" t="s">
        <v>1492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1475</v>
      </c>
      <c r="S28" s="1357">
        <f>F28</f>
        <v>100</v>
      </c>
      <c r="T28" s="1356" t="s">
        <v>1475</v>
      </c>
      <c r="U28" s="1357">
        <f>H28</f>
        <v>100</v>
      </c>
      <c r="V28" s="1356" t="s">
        <v>1475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1475</v>
      </c>
      <c r="S29" s="1362">
        <f t="shared" ref="S29:S47" si="12">F29</f>
        <v>100</v>
      </c>
      <c r="T29" s="1361" t="s">
        <v>1475</v>
      </c>
      <c r="U29" s="1362">
        <f t="shared" ref="U29:U47" si="13">H29</f>
        <v>100</v>
      </c>
      <c r="V29" s="1361" t="s">
        <v>1475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1475</v>
      </c>
      <c r="S32" s="1362">
        <f t="shared" si="12"/>
        <v>100</v>
      </c>
      <c r="T32" s="1361" t="s">
        <v>1475</v>
      </c>
      <c r="U32" s="1362">
        <f t="shared" si="13"/>
        <v>100</v>
      </c>
      <c r="V32" s="1361" t="s">
        <v>1475</v>
      </c>
      <c r="W32" s="1362">
        <f t="shared" si="14"/>
        <v>100</v>
      </c>
      <c r="X32" s="1348"/>
      <c r="Y32" s="1314"/>
      <c r="Z32" s="1335">
        <f t="shared" si="15"/>
        <v>111</v>
      </c>
      <c r="AA32" s="1377">
        <f t="shared" si="3"/>
        <v>1</v>
      </c>
      <c r="AB32" s="1377">
        <f t="shared" si="4"/>
        <v>1</v>
      </c>
      <c r="AC32" s="1745">
        <f t="shared" si="5"/>
        <v>1</v>
      </c>
    </row>
    <row r="33" ht="15.5" spans="1:29">
      <c r="A33" s="1181" t="s">
        <v>1493</v>
      </c>
      <c r="B33" s="1160" t="s">
        <v>1494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1495</v>
      </c>
      <c r="Q33" s="699" t="str">
        <f t="shared" si="11"/>
        <v>建筑类型</v>
      </c>
      <c r="R33" s="1361" t="s">
        <v>1475</v>
      </c>
      <c r="S33" s="1362">
        <f t="shared" si="12"/>
        <v>100</v>
      </c>
      <c r="T33" s="1361" t="s">
        <v>1475</v>
      </c>
      <c r="U33" s="1362">
        <f t="shared" si="13"/>
        <v>100</v>
      </c>
      <c r="V33" s="1361" t="s">
        <v>1475</v>
      </c>
      <c r="W33" s="1362">
        <f t="shared" si="14"/>
        <v>100</v>
      </c>
      <c r="X33" s="1348"/>
      <c r="Y33" s="1323" t="s">
        <v>1495</v>
      </c>
      <c r="Z33" s="1335" t="str">
        <f t="shared" si="15"/>
        <v>建筑类型</v>
      </c>
      <c r="AA33" s="1377">
        <f t="shared" si="3"/>
        <v>1</v>
      </c>
      <c r="AB33" s="1377">
        <f t="shared" si="4"/>
        <v>1</v>
      </c>
      <c r="AC33" s="1745">
        <f t="shared" si="5"/>
        <v>1</v>
      </c>
    </row>
    <row r="34" s="1116" customFormat="1" ht="15.5" spans="1:29">
      <c r="A34" s="1223"/>
      <c r="B34" s="1164" t="s">
        <v>1496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1475</v>
      </c>
      <c r="S34" s="1364" t="e">
        <f t="shared" si="12"/>
        <v>#N/A</v>
      </c>
      <c r="T34" s="1363" t="s">
        <v>1475</v>
      </c>
      <c r="U34" s="1364" t="e">
        <f t="shared" si="13"/>
        <v>#N/A</v>
      </c>
      <c r="V34" s="1363" t="s">
        <v>1475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1475</v>
      </c>
      <c r="S35" s="1362">
        <f t="shared" si="12"/>
        <v>100</v>
      </c>
      <c r="T35" s="1361" t="s">
        <v>1475</v>
      </c>
      <c r="U35" s="1362">
        <f t="shared" si="13"/>
        <v>100</v>
      </c>
      <c r="V35" s="1361" t="s">
        <v>1475</v>
      </c>
      <c r="W35" s="1362">
        <f t="shared" si="14"/>
        <v>100</v>
      </c>
      <c r="X35" s="1348"/>
      <c r="Y35" s="1323"/>
      <c r="Z35" s="1335" t="str">
        <f t="shared" si="15"/>
        <v>建筑结构</v>
      </c>
      <c r="AA35" s="1377">
        <f t="shared" si="3"/>
        <v>1</v>
      </c>
      <c r="AB35" s="1377">
        <f t="shared" si="4"/>
        <v>1</v>
      </c>
      <c r="AC35" s="1745">
        <f t="shared" si="5"/>
        <v>1</v>
      </c>
    </row>
    <row r="36" ht="15.5" spans="1:29">
      <c r="A36" s="1218"/>
      <c r="B36" s="1164" t="s">
        <v>1499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627</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1475</v>
      </c>
      <c r="S37" s="1362" t="e">
        <f t="shared" si="12"/>
        <v>#N/A</v>
      </c>
      <c r="T37" s="1361" t="s">
        <v>1475</v>
      </c>
      <c r="U37" s="1362" t="e">
        <f t="shared" si="13"/>
        <v>#N/A</v>
      </c>
      <c r="V37" s="1361" t="s">
        <v>1475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1563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1475</v>
      </c>
      <c r="S38" s="1357">
        <f t="shared" si="12"/>
        <v>100</v>
      </c>
      <c r="T38" s="1356" t="s">
        <v>1475</v>
      </c>
      <c r="U38" s="1357">
        <f t="shared" si="13"/>
        <v>100</v>
      </c>
      <c r="V38" s="1356" t="s">
        <v>1475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1495</v>
      </c>
      <c r="Q39" s="699" t="str">
        <f t="shared" si="11"/>
        <v>物业管理</v>
      </c>
      <c r="R39" s="1361" t="s">
        <v>1475</v>
      </c>
      <c r="S39" s="1362">
        <f t="shared" si="12"/>
        <v>100</v>
      </c>
      <c r="T39" s="1361" t="s">
        <v>1475</v>
      </c>
      <c r="U39" s="1362">
        <f t="shared" si="13"/>
        <v>100</v>
      </c>
      <c r="V39" s="1361" t="s">
        <v>1475</v>
      </c>
      <c r="W39" s="1362">
        <f t="shared" si="14"/>
        <v>100</v>
      </c>
      <c r="X39" s="1348"/>
      <c r="Y39" s="1323" t="s">
        <v>1495</v>
      </c>
      <c r="Z39" s="1335" t="str">
        <f t="shared" si="15"/>
        <v>物业管理</v>
      </c>
      <c r="AA39" s="1377">
        <f t="shared" si="3"/>
        <v>1</v>
      </c>
      <c r="AB39" s="1377">
        <f t="shared" si="4"/>
        <v>1</v>
      </c>
      <c r="AC39" s="1745">
        <f t="shared" si="5"/>
        <v>1</v>
      </c>
    </row>
    <row r="40" ht="15.5" spans="1:29">
      <c r="A40" s="1218"/>
      <c r="B40" s="1164" t="s">
        <v>1501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1475</v>
      </c>
      <c r="S40" s="1362">
        <f t="shared" si="12"/>
        <v>100</v>
      </c>
      <c r="T40" s="1361" t="s">
        <v>1475</v>
      </c>
      <c r="U40" s="1362">
        <f t="shared" si="13"/>
        <v>100</v>
      </c>
      <c r="V40" s="1361" t="s">
        <v>1475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1555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1475</v>
      </c>
      <c r="S41" s="1362">
        <f t="shared" si="12"/>
        <v>100</v>
      </c>
      <c r="T41" s="1361" t="s">
        <v>1475</v>
      </c>
      <c r="U41" s="1362">
        <f t="shared" si="13"/>
        <v>100</v>
      </c>
      <c r="V41" s="1361" t="s">
        <v>1475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1475</v>
      </c>
      <c r="S42" s="1364">
        <f t="shared" si="12"/>
        <v>100</v>
      </c>
      <c r="T42" s="1363" t="s">
        <v>1475</v>
      </c>
      <c r="U42" s="1364">
        <f t="shared" si="13"/>
        <v>100</v>
      </c>
      <c r="V42" s="1363" t="s">
        <v>1475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1504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1475</v>
      </c>
      <c r="S43" s="1362">
        <f t="shared" si="12"/>
        <v>100</v>
      </c>
      <c r="T43" s="1361" t="s">
        <v>1475</v>
      </c>
      <c r="U43" s="1362">
        <f t="shared" si="13"/>
        <v>100</v>
      </c>
      <c r="V43" s="1361" t="s">
        <v>1475</v>
      </c>
      <c r="W43" s="1362">
        <f t="shared" si="14"/>
        <v>100</v>
      </c>
      <c r="X43" s="1348"/>
      <c r="Y43" s="1323"/>
      <c r="Z43" s="1335" t="str">
        <f t="shared" si="15"/>
        <v>内部装修</v>
      </c>
      <c r="AA43" s="1377">
        <f t="shared" si="3"/>
        <v>1</v>
      </c>
      <c r="AB43" s="1377">
        <f t="shared" si="4"/>
        <v>1</v>
      </c>
      <c r="AC43" s="1745">
        <f t="shared" si="5"/>
        <v>1</v>
      </c>
    </row>
    <row r="44" ht="28" spans="1:29">
      <c r="A44" s="1218"/>
      <c r="B44" s="1164" t="s">
        <v>1505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1475</v>
      </c>
      <c r="S44" s="1362">
        <f t="shared" si="12"/>
        <v>100</v>
      </c>
      <c r="T44" s="1361" t="s">
        <v>1475</v>
      </c>
      <c r="U44" s="1362">
        <f t="shared" si="13"/>
        <v>100</v>
      </c>
      <c r="V44" s="1361" t="s">
        <v>1475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1475</v>
      </c>
      <c r="S45" s="1357">
        <f t="shared" si="12"/>
        <v>100</v>
      </c>
      <c r="T45" s="1356" t="s">
        <v>1475</v>
      </c>
      <c r="U45" s="1357">
        <f t="shared" si="13"/>
        <v>100</v>
      </c>
      <c r="V45" s="1356" t="s">
        <v>1475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1475</v>
      </c>
      <c r="S46" s="1362">
        <f t="shared" si="12"/>
        <v>100</v>
      </c>
      <c r="T46" s="1361" t="s">
        <v>1475</v>
      </c>
      <c r="U46" s="1362">
        <f t="shared" si="13"/>
        <v>100</v>
      </c>
      <c r="V46" s="1361" t="s">
        <v>1475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1475</v>
      </c>
      <c r="S47" s="1362">
        <f t="shared" si="12"/>
        <v>100</v>
      </c>
      <c r="T47" s="1361" t="s">
        <v>1475</v>
      </c>
      <c r="U47" s="1362">
        <f t="shared" si="13"/>
        <v>100</v>
      </c>
      <c r="V47" s="1361" t="s">
        <v>1475</v>
      </c>
      <c r="W47" s="1362">
        <f t="shared" si="14"/>
        <v>100</v>
      </c>
      <c r="X47" s="1348"/>
      <c r="Y47" s="1689"/>
      <c r="Z47" s="1335">
        <f t="shared" si="15"/>
        <v>111</v>
      </c>
      <c r="AA47" s="1377">
        <f t="shared" si="3"/>
        <v>1</v>
      </c>
      <c r="AB47" s="1377">
        <f t="shared" si="4"/>
        <v>1</v>
      </c>
      <c r="AC47" s="1745">
        <f t="shared" si="5"/>
        <v>1</v>
      </c>
    </row>
    <row r="48" spans="1:29">
      <c r="A48" s="1225" t="s">
        <v>1506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1507</v>
      </c>
      <c r="B49" s="1580"/>
      <c r="C49" s="1581" t="e">
        <f>R50</f>
        <v>#N/A</v>
      </c>
      <c r="D49" s="1236" t="s">
        <v>1508</v>
      </c>
      <c r="E49" s="1582" t="e">
        <f>R49</f>
        <v>#N/A</v>
      </c>
      <c r="F49" s="1237"/>
      <c r="G49" s="1581" t="e">
        <f>T49</f>
        <v>#N/A</v>
      </c>
      <c r="H49" s="1237"/>
      <c r="I49" s="1582" t="e">
        <f>V49</f>
        <v>#N/A</v>
      </c>
      <c r="J49" s="1237"/>
      <c r="K49" s="1328">
        <f>F49+H49+J49</f>
        <v>0</v>
      </c>
      <c r="L49" s="1327"/>
      <c r="M49" s="1295"/>
      <c r="N49" s="1295"/>
      <c r="O49" s="1295"/>
      <c r="P49" s="1262" t="str">
        <f>A49</f>
        <v>比较价值（元/平方米）</v>
      </c>
      <c r="Q49" s="699"/>
      <c r="R49" s="1377" t="e">
        <f>IF(F1="售价",ROUND(PRODUCT(R48,AA7:AA47),0),ROUND(PRODUCT(R48,AA7:AA47),1))</f>
        <v>#N/A</v>
      </c>
      <c r="S49" s="1377"/>
      <c r="T49" s="1377" t="e">
        <f>IF(F1="售价",ROUND(PRODUCT(T48,AB7:AB47),0),ROUND(PRODUCT(T48,AB7:AB47),1))</f>
        <v>#N/A</v>
      </c>
      <c r="U49" s="1377"/>
      <c r="V49" s="1377" t="e">
        <f>IF(F1="售价",ROUND(PRODUCT(V48,AC7:AC47),0),ROUND(PRODUCT(V48,AC7:AC47),1))</f>
        <v>#N/A</v>
      </c>
      <c r="W49" s="1377"/>
      <c r="X49" s="1504"/>
      <c r="Y49" s="1504"/>
      <c r="Z49" s="1504"/>
      <c r="AA49" s="1504"/>
      <c r="AB49" s="1504"/>
      <c r="AC49" s="1186"/>
    </row>
    <row r="50" ht="14.75" spans="1:29">
      <c r="A50" s="1239" t="s">
        <v>1509</v>
      </c>
      <c r="B50" s="1240"/>
      <c r="C50" s="1583" t="e">
        <f>R50</f>
        <v>#N/A</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#N/A</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1510</v>
      </c>
      <c r="D53" s="743"/>
      <c r="E53" s="1245" t="e">
        <f>IF(E48&lt;E49,E49/E48-1,E48/E49-1)</f>
        <v>#N/A</v>
      </c>
      <c r="F53" s="1246" t="e">
        <f>IF(OR(E53&gt;=0.3,E53&lt;=-0.3),"超过30%","")</f>
        <v>#N/A</v>
      </c>
      <c r="G53" s="1245" t="e">
        <f>IF(G48&lt;G49,G49/G48-1,G48/G49-1)</f>
        <v>#N/A</v>
      </c>
      <c r="H53" s="1246" t="e">
        <f>IF(OR(G53&gt;=0.3,G53&lt;=-0.3),"超过30%","")</f>
        <v>#N/A</v>
      </c>
      <c r="I53" s="1245" t="e">
        <f>IF(I48&lt;I49,I49/I48-1,I48/I49-1)</f>
        <v>#N/A</v>
      </c>
      <c r="J53" s="1246" t="e">
        <f>IF(OR(I53&gt;=0.3,I53&lt;=-0.3),"超过30%","")</f>
        <v>#N/A</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1511</v>
      </c>
      <c r="D54" s="742"/>
      <c r="E54" s="1245" t="e">
        <f>IF(E49&lt;G49,G49/E49-1,E49/G49-1)</f>
        <v>#N/A</v>
      </c>
      <c r="F54" s="1246" t="e">
        <f>IF(OR(E54&gt;=0.2,E54&lt;=-0.2),"超过20%","")</f>
        <v>#N/A</v>
      </c>
      <c r="G54" s="1245" t="e">
        <f>IF(G49&lt;I49,I49/G49-1,G49/I49-1)</f>
        <v>#N/A</v>
      </c>
      <c r="H54" s="1246" t="e">
        <f>IF(OR(G54&gt;=0.2,G54&lt;=-0.2),"超过20%","")</f>
        <v>#N/A</v>
      </c>
      <c r="I54" s="1245" t="e">
        <f>IF(I49&lt;E49,E49/I49-1,I49/E49-1)</f>
        <v>#N/A</v>
      </c>
      <c r="J54" s="1246" t="e">
        <f>IF(OR(I54&gt;=0.2,I54&lt;=-0.2),"超过20%","")</f>
        <v>#N/A</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1473</v>
      </c>
      <c r="B59" s="1586"/>
      <c r="C59" s="1587" t="str">
        <f>YEAR(C7)&amp;"-"&amp;MONTH(C7)</f>
        <v>1900-1</v>
      </c>
      <c r="D59" s="1588" t="e">
        <f>EDATE(C59,-1)</f>
        <v>#NUM!</v>
      </c>
      <c r="E59" s="1588" t="e">
        <f>EDATE(D59,-1)</f>
        <v>#NUM!</v>
      </c>
      <c r="F59" s="1588" t="e">
        <f t="shared" ref="F59:O59" si="16">EDATE(E59,-1)</f>
        <v>#NUM!</v>
      </c>
      <c r="G59" s="1588" t="e">
        <f t="shared" si="16"/>
        <v>#NUM!</v>
      </c>
      <c r="H59" s="1588" t="e">
        <f t="shared" si="16"/>
        <v>#NUM!</v>
      </c>
      <c r="I59" s="1588" t="e">
        <f t="shared" si="16"/>
        <v>#NUM!</v>
      </c>
      <c r="J59" s="1588" t="e">
        <f t="shared" si="16"/>
        <v>#NUM!</v>
      </c>
      <c r="K59" s="1588" t="e">
        <f t="shared" si="16"/>
        <v>#NUM!</v>
      </c>
      <c r="L59" s="1588" t="e">
        <f t="shared" si="16"/>
        <v>#NUM!</v>
      </c>
      <c r="M59" s="1588" t="e">
        <f t="shared" si="16"/>
        <v>#NUM!</v>
      </c>
      <c r="N59" s="1588" t="e">
        <f t="shared" si="16"/>
        <v>#NUM!</v>
      </c>
      <c r="O59" s="1588" t="e">
        <f t="shared" si="16"/>
        <v>#NUM!</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1514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1476</v>
      </c>
      <c r="B62" s="1391"/>
      <c r="C62" s="1392" t="s">
        <v>1515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1516</v>
      </c>
      <c r="B64" s="1397" t="s">
        <v>1479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1484</v>
      </c>
      <c r="B77" s="1397" t="s">
        <v>1560</v>
      </c>
      <c r="C77" s="1418" t="s">
        <v>1517</v>
      </c>
      <c r="D77" s="1418" t="s">
        <v>1518</v>
      </c>
      <c r="E77" s="1418" t="s">
        <v>1519</v>
      </c>
      <c r="F77" s="1418" t="s">
        <v>1520</v>
      </c>
      <c r="G77" s="1418" t="s">
        <v>1521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1487</v>
      </c>
      <c r="C79" s="1420" t="s">
        <v>1517</v>
      </c>
      <c r="D79" s="1420" t="s">
        <v>1518</v>
      </c>
      <c r="E79" s="1420" t="s">
        <v>1519</v>
      </c>
      <c r="F79" s="1420" t="s">
        <v>1520</v>
      </c>
      <c r="G79" s="1420" t="s">
        <v>1521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1488</v>
      </c>
      <c r="C81" s="1420" t="s">
        <v>1517</v>
      </c>
      <c r="D81" s="1420" t="s">
        <v>1518</v>
      </c>
      <c r="E81" s="1420" t="s">
        <v>1519</v>
      </c>
      <c r="F81" s="1420" t="s">
        <v>1520</v>
      </c>
      <c r="G81" s="1420" t="s">
        <v>1521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1489</v>
      </c>
      <c r="C83" s="1425" t="s">
        <v>1522</v>
      </c>
      <c r="D83" s="1425" t="s">
        <v>1523</v>
      </c>
      <c r="E83" s="1425" t="s">
        <v>1524</v>
      </c>
      <c r="F83" s="1425" t="s">
        <v>1525</v>
      </c>
      <c r="G83" s="1425" t="s">
        <v>1526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1561</v>
      </c>
      <c r="C85" s="1420" t="s">
        <v>1517</v>
      </c>
      <c r="D85" s="1420" t="s">
        <v>1518</v>
      </c>
      <c r="E85" s="1420" t="s">
        <v>1519</v>
      </c>
      <c r="F85" s="1420" t="s">
        <v>1520</v>
      </c>
      <c r="G85" s="1420" t="s">
        <v>1521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1562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1493</v>
      </c>
      <c r="B101" s="1397" t="s">
        <v>1494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627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1563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1565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1556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1504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1505</v>
      </c>
      <c r="C125" s="1420" t="s">
        <v>1517</v>
      </c>
      <c r="D125" s="1420" t="s">
        <v>1518</v>
      </c>
      <c r="E125" s="1420" t="s">
        <v>1519</v>
      </c>
      <c r="F125" s="1420" t="s">
        <v>1520</v>
      </c>
      <c r="G125" s="1420" t="s">
        <v>1521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1566</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981</v>
      </c>
      <c r="B3" s="1131" t="e">
        <f ca="1">IF(C2="——",C43,ROUND(B2*10000/D3,0))</f>
        <v>#DIV/0!</v>
      </c>
      <c r="C3" s="1546" t="s">
        <v>1459</v>
      </c>
      <c r="D3" s="1547">
        <f>IF(D1="",'数据-汇总表'!E3,SUMIF('数据-汇总表'!$C19:$C33,D1,'数据-汇总表'!$E19:$E33))</f>
        <v>0</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676"/>
      <c r="M4" s="1677"/>
      <c r="N4" s="1677"/>
      <c r="O4" s="1677"/>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SUMIF(52:52,YEAR(E7)&amp;"-"&amp;MONTH(E7),53:53)</f>
        <v>100</v>
      </c>
      <c r="G7" s="1155"/>
      <c r="H7" s="1154">
        <f>SUMIF(52:52,YEAR(G7)&amp;"-"&amp;MONTH(G7),53:53)</f>
        <v>100</v>
      </c>
      <c r="I7" s="1155"/>
      <c r="J7" s="1154">
        <f>SUMIF(52:52,YEAR(I7)&amp;"-"&amp;MONTH(I7),53:53)</f>
        <v>100</v>
      </c>
      <c r="K7" s="1299"/>
      <c r="L7" s="1678"/>
      <c r="M7" s="1679"/>
      <c r="N7" s="1679"/>
      <c r="O7" s="1679"/>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0" si="3">D8/F8</f>
        <v>1</v>
      </c>
      <c r="AB8" s="1375">
        <f t="shared" ref="AB8:AB40" si="4">D8/H8</f>
        <v>1</v>
      </c>
      <c r="AC8" s="1375">
        <f t="shared" ref="AC8:AC40" si="5">D8/J8</f>
        <v>1</v>
      </c>
    </row>
    <row r="9" s="1114" customFormat="1" spans="1:29">
      <c r="A9" s="1159" t="s">
        <v>1478</v>
      </c>
      <c r="B9" s="1160" t="s">
        <v>1479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1567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1487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1489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1561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1475</v>
      </c>
      <c r="S25" s="1362">
        <f>F25</f>
        <v>100</v>
      </c>
      <c r="T25" s="1361" t="s">
        <v>1475</v>
      </c>
      <c r="U25" s="1362">
        <f>H25</f>
        <v>100</v>
      </c>
      <c r="V25" s="1361" t="s">
        <v>1475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1475</v>
      </c>
      <c r="S26" s="1362">
        <f>F26</f>
        <v>100</v>
      </c>
      <c r="T26" s="1361" t="s">
        <v>1475</v>
      </c>
      <c r="U26" s="1362">
        <f>H26</f>
        <v>100</v>
      </c>
      <c r="V26" s="1361" t="s">
        <v>1475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1475</v>
      </c>
      <c r="S27" s="1357">
        <f>F27</f>
        <v>100</v>
      </c>
      <c r="T27" s="1356" t="s">
        <v>1475</v>
      </c>
      <c r="U27" s="1357">
        <f>H27</f>
        <v>100</v>
      </c>
      <c r="V27" s="1356" t="s">
        <v>1475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1475</v>
      </c>
      <c r="S28" s="1362">
        <f t="shared" ref="S28:S40" si="12">F28</f>
        <v>100</v>
      </c>
      <c r="T28" s="1361" t="s">
        <v>1475</v>
      </c>
      <c r="U28" s="1362">
        <f t="shared" ref="U28:U40" si="13">H28</f>
        <v>100</v>
      </c>
      <c r="V28" s="1361" t="s">
        <v>1475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1493</v>
      </c>
      <c r="B29" s="1160" t="s">
        <v>1494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1495</v>
      </c>
      <c r="Q29" s="699" t="str">
        <f t="shared" si="11"/>
        <v>建筑类型</v>
      </c>
      <c r="R29" s="1361" t="s">
        <v>1475</v>
      </c>
      <c r="S29" s="1362">
        <f t="shared" si="12"/>
        <v>100</v>
      </c>
      <c r="T29" s="1361" t="s">
        <v>1475</v>
      </c>
      <c r="U29" s="1362">
        <f t="shared" si="13"/>
        <v>100</v>
      </c>
      <c r="V29" s="1361" t="s">
        <v>1475</v>
      </c>
      <c r="W29" s="1362">
        <f t="shared" si="14"/>
        <v>100</v>
      </c>
      <c r="X29" s="1348"/>
      <c r="Y29" s="1323" t="s">
        <v>1495</v>
      </c>
      <c r="Z29" s="1335" t="str">
        <f t="shared" si="15"/>
        <v>建筑类型</v>
      </c>
      <c r="AA29" s="1377">
        <f t="shared" si="3"/>
        <v>1</v>
      </c>
      <c r="AB29" s="1377">
        <f t="shared" si="4"/>
        <v>1</v>
      </c>
      <c r="AC29" s="1377">
        <f t="shared" si="5"/>
        <v>1</v>
      </c>
    </row>
    <row r="30" s="1116" customFormat="1" ht="15.5" spans="1:29">
      <c r="A30" s="1223"/>
      <c r="B30" s="1164" t="s">
        <v>1496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1475</v>
      </c>
      <c r="S30" s="1364" t="e">
        <f t="shared" si="12"/>
        <v>#N/A</v>
      </c>
      <c r="T30" s="1363" t="s">
        <v>1475</v>
      </c>
      <c r="U30" s="1364" t="e">
        <f t="shared" si="13"/>
        <v>#N/A</v>
      </c>
      <c r="V30" s="1363" t="s">
        <v>1475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1475</v>
      </c>
      <c r="S31" s="1362">
        <f t="shared" si="12"/>
        <v>100</v>
      </c>
      <c r="T31" s="1361" t="s">
        <v>1475</v>
      </c>
      <c r="U31" s="1362">
        <f t="shared" si="13"/>
        <v>100</v>
      </c>
      <c r="V31" s="1361" t="s">
        <v>1475</v>
      </c>
      <c r="W31" s="1362">
        <f t="shared" si="14"/>
        <v>100</v>
      </c>
      <c r="X31" s="1348"/>
      <c r="Y31" s="1323"/>
      <c r="Z31" s="1335" t="str">
        <f t="shared" si="15"/>
        <v>建筑结构</v>
      </c>
      <c r="AA31" s="1377">
        <f t="shared" si="3"/>
        <v>1</v>
      </c>
      <c r="AB31" s="1377">
        <f t="shared" si="4"/>
        <v>1</v>
      </c>
      <c r="AC31" s="1377">
        <f t="shared" si="5"/>
        <v>1</v>
      </c>
    </row>
    <row r="32" ht="15.5" spans="1:29">
      <c r="A32" s="1218"/>
      <c r="B32" s="1164" t="s">
        <v>1499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1475</v>
      </c>
      <c r="S32" s="1362">
        <f t="shared" si="12"/>
        <v>100</v>
      </c>
      <c r="T32" s="1361" t="s">
        <v>1475</v>
      </c>
      <c r="U32" s="1362">
        <f t="shared" si="13"/>
        <v>100</v>
      </c>
      <c r="V32" s="1361" t="s">
        <v>1475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627</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1475</v>
      </c>
      <c r="S33" s="1362" t="e">
        <f t="shared" si="12"/>
        <v>#N/A</v>
      </c>
      <c r="T33" s="1361" t="s">
        <v>1475</v>
      </c>
      <c r="U33" s="1362" t="e">
        <f t="shared" si="13"/>
        <v>#N/A</v>
      </c>
      <c r="V33" s="1361" t="s">
        <v>1475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1475</v>
      </c>
      <c r="S34" s="1357">
        <f t="shared" si="12"/>
        <v>100</v>
      </c>
      <c r="T34" s="1356" t="s">
        <v>1475</v>
      </c>
      <c r="U34" s="1357">
        <f t="shared" si="13"/>
        <v>100</v>
      </c>
      <c r="V34" s="1356" t="s">
        <v>1475</v>
      </c>
      <c r="W34" s="1357">
        <f t="shared" si="14"/>
        <v>100</v>
      </c>
      <c r="X34" s="1358"/>
      <c r="Y34" s="1323"/>
      <c r="Z34" s="1376" t="str">
        <f t="shared" si="15"/>
        <v>物业管理</v>
      </c>
      <c r="AA34" s="1375">
        <f t="shared" si="3"/>
        <v>1</v>
      </c>
      <c r="AB34" s="1375">
        <f t="shared" si="4"/>
        <v>1</v>
      </c>
      <c r="AC34" s="1375">
        <f t="shared" si="5"/>
        <v>1</v>
      </c>
    </row>
    <row r="35" ht="15.5" spans="1:29">
      <c r="A35" s="1218"/>
      <c r="B35" s="1164" t="s">
        <v>1501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1495</v>
      </c>
      <c r="Q35" s="699" t="str">
        <f t="shared" si="11"/>
        <v>市政基础设施</v>
      </c>
      <c r="R35" s="1361" t="s">
        <v>1475</v>
      </c>
      <c r="S35" s="1362">
        <f t="shared" si="12"/>
        <v>100</v>
      </c>
      <c r="T35" s="1361" t="s">
        <v>1475</v>
      </c>
      <c r="U35" s="1362">
        <f t="shared" si="13"/>
        <v>100</v>
      </c>
      <c r="V35" s="1361" t="s">
        <v>1475</v>
      </c>
      <c r="W35" s="1362">
        <f t="shared" si="14"/>
        <v>100</v>
      </c>
      <c r="X35" s="1348"/>
      <c r="Y35" s="1323" t="s">
        <v>1495</v>
      </c>
      <c r="Z35" s="1335" t="str">
        <f t="shared" si="15"/>
        <v>市政基础设施</v>
      </c>
      <c r="AA35" s="1377">
        <f t="shared" si="3"/>
        <v>1</v>
      </c>
      <c r="AB35" s="1377">
        <f t="shared" si="4"/>
        <v>1</v>
      </c>
      <c r="AC35" s="1377">
        <f t="shared" si="5"/>
        <v>1</v>
      </c>
    </row>
    <row r="36" ht="15.5" spans="1:29">
      <c r="A36" s="1218"/>
      <c r="B36" s="1164" t="s">
        <v>1504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1475</v>
      </c>
      <c r="S36" s="1362">
        <f t="shared" si="12"/>
        <v>100</v>
      </c>
      <c r="T36" s="1361" t="s">
        <v>1475</v>
      </c>
      <c r="U36" s="1362">
        <f t="shared" si="13"/>
        <v>100</v>
      </c>
      <c r="V36" s="1361" t="s">
        <v>1475</v>
      </c>
      <c r="W36" s="1362">
        <f t="shared" si="14"/>
        <v>100</v>
      </c>
      <c r="X36" s="1348"/>
      <c r="Y36" s="1323"/>
      <c r="Z36" s="1335" t="str">
        <f t="shared" si="15"/>
        <v>内部装修</v>
      </c>
      <c r="AA36" s="1377">
        <f t="shared" si="3"/>
        <v>1</v>
      </c>
      <c r="AB36" s="1377">
        <f t="shared" si="4"/>
        <v>1</v>
      </c>
      <c r="AC36" s="1377">
        <f t="shared" si="5"/>
        <v>1</v>
      </c>
    </row>
    <row r="37" ht="15.5" spans="1:29">
      <c r="A37" s="1218"/>
      <c r="B37" s="1164" t="s">
        <v>1568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1475</v>
      </c>
      <c r="S37" s="1362">
        <f t="shared" si="12"/>
        <v>100</v>
      </c>
      <c r="T37" s="1361" t="s">
        <v>1475</v>
      </c>
      <c r="U37" s="1362">
        <f t="shared" si="13"/>
        <v>100</v>
      </c>
      <c r="V37" s="1361" t="s">
        <v>1475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1475</v>
      </c>
      <c r="S38" s="1364">
        <f t="shared" si="12"/>
        <v>100</v>
      </c>
      <c r="T38" s="1363" t="s">
        <v>1475</v>
      </c>
      <c r="U38" s="1364">
        <f t="shared" si="13"/>
        <v>100</v>
      </c>
      <c r="V38" s="1363" t="s">
        <v>1475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1475</v>
      </c>
      <c r="S39" s="1362">
        <f t="shared" si="12"/>
        <v>100</v>
      </c>
      <c r="T39" s="1361" t="s">
        <v>1475</v>
      </c>
      <c r="U39" s="1362">
        <f t="shared" si="13"/>
        <v>100</v>
      </c>
      <c r="V39" s="1361" t="s">
        <v>1475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1475</v>
      </c>
      <c r="S40" s="1362">
        <f t="shared" si="12"/>
        <v>100</v>
      </c>
      <c r="T40" s="1361" t="s">
        <v>1475</v>
      </c>
      <c r="U40" s="1362">
        <f t="shared" si="13"/>
        <v>100</v>
      </c>
      <c r="V40" s="1361" t="s">
        <v>1475</v>
      </c>
      <c r="W40" s="1362">
        <f t="shared" si="14"/>
        <v>100</v>
      </c>
      <c r="X40" s="1348"/>
      <c r="Y40" s="1689"/>
      <c r="Z40" s="1335">
        <f t="shared" si="15"/>
        <v>111</v>
      </c>
      <c r="AA40" s="1377">
        <f t="shared" si="3"/>
        <v>1</v>
      </c>
      <c r="AB40" s="1377">
        <f t="shared" si="4"/>
        <v>1</v>
      </c>
      <c r="AC40" s="1377">
        <f t="shared" si="5"/>
        <v>1</v>
      </c>
    </row>
    <row r="41" spans="1:29">
      <c r="A41" s="1225" t="s">
        <v>1506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1507</v>
      </c>
      <c r="B42" s="1580"/>
      <c r="C42" s="1581" t="e">
        <f>R43</f>
        <v>#N/A</v>
      </c>
      <c r="D42" s="1236" t="s">
        <v>1508</v>
      </c>
      <c r="E42" s="1582" t="e">
        <f>R42</f>
        <v>#N/A</v>
      </c>
      <c r="F42" s="1237"/>
      <c r="G42" s="1581" t="e">
        <f>T42</f>
        <v>#N/A</v>
      </c>
      <c r="H42" s="1237"/>
      <c r="I42" s="1582" t="e">
        <f>V42</f>
        <v>#N/A</v>
      </c>
      <c r="J42" s="1237"/>
      <c r="K42" s="1328">
        <f>F42+H42+J42</f>
        <v>0</v>
      </c>
      <c r="L42" s="1690"/>
      <c r="M42" s="1278"/>
      <c r="N42" s="1677"/>
      <c r="O42" s="1278"/>
      <c r="P42" s="699" t="str">
        <f>A42</f>
        <v>比较价值（元/平方米）</v>
      </c>
      <c r="Q42" s="699"/>
      <c r="R42" s="1377" t="e">
        <f>IF(F1="售价",ROUND(PRODUCT(R41,AA7:AA40),0),ROUND(PRODUCT(R41,AA7:AA40),1))</f>
        <v>#N/A</v>
      </c>
      <c r="S42" s="1377"/>
      <c r="T42" s="1377" t="e">
        <f>IF(F1="售价",ROUND(PRODUCT(T41,AB7:AB40),0),ROUND(PRODUCT(T41,AB7:AB40),1))</f>
        <v>#N/A</v>
      </c>
      <c r="U42" s="1377"/>
      <c r="V42" s="1377" t="e">
        <f>IF(F1="售价",ROUND(PRODUCT(V41,AC7:AC40),0),ROUND(PRODUCT(V41,AC7:AC40),1))</f>
        <v>#N/A</v>
      </c>
      <c r="W42" s="1377"/>
      <c r="X42" s="1283"/>
      <c r="Y42" s="1283"/>
      <c r="Z42" s="1283"/>
      <c r="AA42" s="1283"/>
      <c r="AB42" s="1283"/>
      <c r="AC42" s="1283"/>
    </row>
    <row r="43" ht="14.75" spans="1:29">
      <c r="A43" s="1239" t="s">
        <v>1509</v>
      </c>
      <c r="B43" s="1240"/>
      <c r="C43" s="1583" t="e">
        <f>R43</f>
        <v>#N/A</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#N/A</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1510</v>
      </c>
      <c r="D46" s="743"/>
      <c r="E46" s="1245" t="e">
        <f>IF(E41&lt;E42,E42/E41-1,E41/E42-1)</f>
        <v>#N/A</v>
      </c>
      <c r="F46" s="1246" t="e">
        <f>IF(OR(E46&gt;=0.3,E46&lt;=-0.3),"超过30%","")</f>
        <v>#N/A</v>
      </c>
      <c r="G46" s="1245" t="e">
        <f>IF(G41&lt;G42,G42/G41-1,G41/G42-1)</f>
        <v>#N/A</v>
      </c>
      <c r="H46" s="1246" t="e">
        <f>IF(OR(G46&gt;=0.3,G46&lt;=-0.3),"超过30%","")</f>
        <v>#N/A</v>
      </c>
      <c r="I46" s="1245" t="e">
        <f>IF(I41&lt;I42,I42/I41-1,I41/I42-1)</f>
        <v>#N/A</v>
      </c>
      <c r="J46" s="1246" t="e">
        <f>IF(OR(I46&gt;=0.3,I46&lt;=-0.3),"超过30%","")</f>
        <v>#N/A</v>
      </c>
      <c r="K46" s="1331"/>
      <c r="L46" s="1340"/>
      <c r="M46" s="1278"/>
      <c r="N46" s="1278"/>
      <c r="O46" s="1278"/>
    </row>
    <row r="47" ht="13.5" customHeight="1" spans="1:15">
      <c r="A47" s="1242"/>
      <c r="B47" s="1242"/>
      <c r="C47" s="1244" t="s">
        <v>1511</v>
      </c>
      <c r="D47" s="742"/>
      <c r="E47" s="1245" t="e">
        <f>IF(E42&lt;G42,G42/E42-1,E42/G42-1)</f>
        <v>#N/A</v>
      </c>
      <c r="F47" s="1246" t="e">
        <f>IF(OR(E47&gt;=0.2,E47&lt;=-0.2),"超过20%","")</f>
        <v>#N/A</v>
      </c>
      <c r="G47" s="1245" t="e">
        <f>IF(G42&lt;I42,I42/G42-1,G42/I42-1)</f>
        <v>#N/A</v>
      </c>
      <c r="H47" s="1246" t="e">
        <f>IF(OR(G47&gt;=0.2,G47&lt;=-0.2),"超过20%","")</f>
        <v>#N/A</v>
      </c>
      <c r="I47" s="1245" t="e">
        <f>IF(I42&lt;E42,E42/I42-1,I42/E42-1)</f>
        <v>#N/A</v>
      </c>
      <c r="J47" s="1246" t="e">
        <f>IF(OR(I47&gt;=0.2,I47&lt;=-0.2),"超过20%","")</f>
        <v>#N/A</v>
      </c>
      <c r="K47" s="1331"/>
      <c r="L47" s="1340"/>
      <c r="M47" s="1278"/>
      <c r="N47" s="1278"/>
      <c r="O47" s="1278"/>
    </row>
    <row r="48" s="1117" customFormat="1" ht="13.5" customHeight="1" spans="1:15">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1513</v>
      </c>
      <c r="B51" s="1283"/>
      <c r="C51" s="1284"/>
      <c r="D51" s="1284"/>
      <c r="E51" s="1284"/>
      <c r="F51" s="1285"/>
      <c r="G51" s="1285"/>
      <c r="H51" s="1284"/>
      <c r="I51" s="1284"/>
      <c r="J51" s="1284"/>
      <c r="K51" s="1528"/>
      <c r="L51" s="1529"/>
      <c r="M51" s="1343"/>
      <c r="N51" s="1343"/>
      <c r="O51" s="1343"/>
      <c r="P51" s="1693"/>
      <c r="Q51" s="1695"/>
    </row>
    <row r="52" s="1119" customFormat="1" spans="1:16">
      <c r="A52" s="1585" t="s">
        <v>1473</v>
      </c>
      <c r="B52" s="1586"/>
      <c r="C52" s="1587" t="str">
        <f>YEAR(C7)&amp;"-"&amp;MONTH(C7)</f>
        <v>1900-1</v>
      </c>
      <c r="D52" s="1588" t="e">
        <f>EDATE(C52,-1)</f>
        <v>#NUM!</v>
      </c>
      <c r="E52" s="1588" t="e">
        <f t="shared" ref="E52:O52" si="16">EDATE(D52,-1)</f>
        <v>#NUM!</v>
      </c>
      <c r="F52" s="1588" t="e">
        <f t="shared" si="16"/>
        <v>#NUM!</v>
      </c>
      <c r="G52" s="1588" t="e">
        <f t="shared" si="16"/>
        <v>#NUM!</v>
      </c>
      <c r="H52" s="1588" t="e">
        <f t="shared" si="16"/>
        <v>#NUM!</v>
      </c>
      <c r="I52" s="1588" t="e">
        <f t="shared" si="16"/>
        <v>#NUM!</v>
      </c>
      <c r="J52" s="1588" t="e">
        <f t="shared" si="16"/>
        <v>#NUM!</v>
      </c>
      <c r="K52" s="1588" t="e">
        <f t="shared" si="16"/>
        <v>#NUM!</v>
      </c>
      <c r="L52" s="1588" t="e">
        <f t="shared" si="16"/>
        <v>#NUM!</v>
      </c>
      <c r="M52" s="1588" t="e">
        <f t="shared" si="16"/>
        <v>#NUM!</v>
      </c>
      <c r="N52" s="1588" t="e">
        <f t="shared" si="16"/>
        <v>#NUM!</v>
      </c>
      <c r="O52" s="1588" t="e">
        <f t="shared" si="16"/>
        <v>#NUM!</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1514</v>
      </c>
      <c r="B54" s="1387"/>
      <c r="C54" s="1388"/>
      <c r="D54" s="1389"/>
      <c r="E54" s="1389"/>
      <c r="F54" s="1389"/>
      <c r="G54" s="1389"/>
      <c r="H54" s="1389"/>
      <c r="I54" s="1389"/>
      <c r="J54" s="1389"/>
      <c r="K54" s="1389"/>
      <c r="L54" s="1389"/>
      <c r="M54" s="1437"/>
      <c r="N54" s="1696"/>
      <c r="O54" s="1697"/>
      <c r="P54" s="1695"/>
      <c r="Q54" s="1695"/>
    </row>
    <row r="55" s="1114" customFormat="1" spans="1:17">
      <c r="A55" s="1390" t="s">
        <v>1476</v>
      </c>
      <c r="B55" s="1391"/>
      <c r="C55" s="1392" t="s">
        <v>1515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1516</v>
      </c>
      <c r="B57" s="1397" t="s">
        <v>1479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1484</v>
      </c>
      <c r="B70" s="1397" t="s">
        <v>1567</v>
      </c>
      <c r="C70" s="1418" t="s">
        <v>1517</v>
      </c>
      <c r="D70" s="1418" t="s">
        <v>1518</v>
      </c>
      <c r="E70" s="1418" t="s">
        <v>1519</v>
      </c>
      <c r="F70" s="1418" t="s">
        <v>1520</v>
      </c>
      <c r="G70" s="1418" t="s">
        <v>1521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1487</v>
      </c>
      <c r="C72" s="1420" t="s">
        <v>1517</v>
      </c>
      <c r="D72" s="1420" t="s">
        <v>1518</v>
      </c>
      <c r="E72" s="1420" t="s">
        <v>1519</v>
      </c>
      <c r="F72" s="1420" t="s">
        <v>1520</v>
      </c>
      <c r="G72" s="1420" t="s">
        <v>1521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1488</v>
      </c>
      <c r="C74" s="1420" t="s">
        <v>1517</v>
      </c>
      <c r="D74" s="1420" t="s">
        <v>1518</v>
      </c>
      <c r="E74" s="1420" t="s">
        <v>1519</v>
      </c>
      <c r="F74" s="1420" t="s">
        <v>1520</v>
      </c>
      <c r="G74" s="1420" t="s">
        <v>1521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1489</v>
      </c>
      <c r="C76" s="1425" t="s">
        <v>1522</v>
      </c>
      <c r="D76" s="1425" t="s">
        <v>1523</v>
      </c>
      <c r="E76" s="1425" t="s">
        <v>1524</v>
      </c>
      <c r="F76" s="1425" t="s">
        <v>1525</v>
      </c>
      <c r="G76" s="1425" t="s">
        <v>1526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1561</v>
      </c>
      <c r="C78" s="1420" t="s">
        <v>1517</v>
      </c>
      <c r="D78" s="1420" t="s">
        <v>1518</v>
      </c>
      <c r="E78" s="1420" t="s">
        <v>1519</v>
      </c>
      <c r="F78" s="1420" t="s">
        <v>1520</v>
      </c>
      <c r="G78" s="1420" t="s">
        <v>1521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1493</v>
      </c>
      <c r="B88" s="1397" t="s">
        <v>1494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1497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1499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627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1504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1569</v>
      </c>
      <c r="C106" s="1420" t="s">
        <v>1517</v>
      </c>
      <c r="D106" s="1420" t="s">
        <v>1518</v>
      </c>
      <c r="E106" s="1420" t="s">
        <v>1519</v>
      </c>
      <c r="F106" s="1420" t="s">
        <v>1520</v>
      </c>
      <c r="G106" s="1420" t="s">
        <v>1521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1" t="s">
        <v>82</v>
      </c>
    </row>
    <row r="2" spans="1:1">
      <c r="A2" s="3662"/>
    </row>
    <row r="3" ht="18" spans="1:1">
      <c r="A3" s="3663" t="str">
        <f>项目基本情况!B5&amp;"："</f>
        <v>：</v>
      </c>
    </row>
    <row r="4" ht="17.5" spans="1:1">
      <c r="A4" s="3664" t="str">
        <f>"受贵公司委托，我公司对"&amp;项目基本情况!S1&amp;"进行了预评估。"</f>
        <v>受贵公司委托，我公司对进行了预评估。</v>
      </c>
    </row>
    <row r="5" ht="17.5" spans="1:1">
      <c r="A5" s="3665" t="s">
        <v>83</v>
      </c>
    </row>
    <row r="6" ht="17.5" spans="1:1">
      <c r="A6" s="3666" t="s">
        <v>84</v>
      </c>
    </row>
    <row r="7" ht="17.5" spans="1:1">
      <c r="A7" s="366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5" spans="1:1">
      <c r="A8" s="3667" t="s">
        <v>85</v>
      </c>
    </row>
    <row r="9" ht="17.5" spans="1:1">
      <c r="A9" s="3666" t="s">
        <v>86</v>
      </c>
    </row>
    <row r="10" ht="17.5" spans="1:1">
      <c r="A10" s="366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0" spans="1:1">
      <c r="A11" s="3667" t="s">
        <v>87</v>
      </c>
    </row>
    <row r="12" ht="17.5" spans="1:1">
      <c r="A12" s="3665" t="s">
        <v>88</v>
      </c>
    </row>
    <row r="13" ht="38.25" customHeight="1" spans="1:1">
      <c r="A13" s="3668" t="str">
        <f>IF(项目基本情况!B8="抵押",IF(项目基本情况!B5=项目基本情况!B6,定义!C51,定义!B51),定义!D51)</f>
        <v>为估价委托人了解估价对象房地产市场价值提供参考依据。</v>
      </c>
    </row>
    <row r="14" ht="17.5" spans="1:1">
      <c r="A14" s="3669" t="s">
        <v>89</v>
      </c>
    </row>
    <row r="15" ht="17.5" spans="1:1">
      <c r="A15" s="3670" t="str">
        <f>TEXT(项目基本情况!D3,"yyyy年m月d日;;")&amp;IF(项目基本情况!D3=项目基本情况!B3,"（评估专业人员实地查勘之日）","")</f>
        <v>（评估专业人员实地查勘之日）</v>
      </c>
    </row>
    <row r="16" ht="17.5" spans="1:1">
      <c r="A16" s="3669" t="s">
        <v>90</v>
      </c>
    </row>
    <row r="17" ht="70" spans="1:1">
      <c r="A17" s="3664" t="s">
        <v>91</v>
      </c>
    </row>
    <row r="18" ht="5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69" t="s">
        <v>92</v>
      </c>
    </row>
    <row r="24" ht="17.5" spans="1:1">
      <c r="A24" s="3618" t="str">
        <f>"本次评估采用的主估价方法为"&amp;结果表!K4&amp;"和"&amp;结果表!L4&amp;"。"</f>
        <v>本次评估采用的主估价方法为基准地价系数修正法和基准地价系数修正法。</v>
      </c>
    </row>
    <row r="25" ht="17.5" spans="1:1">
      <c r="A25" s="3618"/>
    </row>
    <row r="26" ht="1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1571</v>
      </c>
      <c r="C1" s="1535" t="s">
        <v>1457</v>
      </c>
      <c r="D1" s="1536"/>
      <c r="E1" s="1537"/>
      <c r="F1" s="1538"/>
      <c r="G1" s="1614" t="s">
        <v>1458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981</v>
      </c>
      <c r="B3" s="1131" t="e">
        <f ca="1">IF(AND(C2="——",B37="元/平方米"),C39,ROUND(B2*10000/D3,0))</f>
        <v>#DIV/0!</v>
      </c>
      <c r="C3" s="1546" t="s">
        <v>1459</v>
      </c>
      <c r="D3" s="1547">
        <f>SUMIF('数据-汇总表'!$C19:$C33,D1,'数据-汇总表'!$E19:$E33)</f>
        <v>0</v>
      </c>
      <c r="E3" s="1546" t="s">
        <v>1572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SUMIF(48:48,YEAR(E7)&amp;"-"&amp;MONTH(E7),49:49)</f>
        <v>100</v>
      </c>
      <c r="G7" s="1155"/>
      <c r="H7" s="1154">
        <f>SUMIF(48:48,YEAR(G7)&amp;"-"&amp;MONTH(G7),49:49)</f>
        <v>100</v>
      </c>
      <c r="I7" s="1155"/>
      <c r="J7" s="1154">
        <f>SUMIF(48:48,YEAR(I7)&amp;"-"&amp;MONTH(I7),49:49)</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6" si="3">D8/F8</f>
        <v>1</v>
      </c>
      <c r="AB8" s="1375">
        <f t="shared" ref="AB8:AB36" si="4">D8/H8</f>
        <v>1</v>
      </c>
      <c r="AC8" s="1375">
        <f t="shared" ref="AC8:AC36" si="5">D8/J8</f>
        <v>1</v>
      </c>
    </row>
    <row r="9" s="1114" customFormat="1" spans="1:29">
      <c r="A9" s="1616" t="s">
        <v>1478</v>
      </c>
      <c r="B9" s="1617" t="s">
        <v>1479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619"/>
      <c r="B10" s="1620" t="s">
        <v>1482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33" t="s">
        <v>1484</v>
      </c>
      <c r="B14" s="1182" t="s">
        <v>1487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1488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1489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1552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632" t="s">
        <v>1493</v>
      </c>
      <c r="B26" s="1633" t="s">
        <v>1573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1495</v>
      </c>
      <c r="Q26" s="699" t="str">
        <f t="shared" si="11"/>
        <v>配套类型</v>
      </c>
      <c r="R26" s="1361" t="s">
        <v>1475</v>
      </c>
      <c r="S26" s="1362">
        <f t="shared" ref="S26:S36" si="12">F26</f>
        <v>0</v>
      </c>
      <c r="T26" s="1361" t="s">
        <v>1475</v>
      </c>
      <c r="U26" s="1362">
        <f t="shared" ref="U26:U36" si="13">H26</f>
        <v>0</v>
      </c>
      <c r="V26" s="1361" t="s">
        <v>1475</v>
      </c>
      <c r="W26" s="1362">
        <f t="shared" ref="W26:W36" si="14">J26</f>
        <v>0</v>
      </c>
      <c r="X26" s="1348"/>
      <c r="Y26" s="1323" t="s">
        <v>1495</v>
      </c>
      <c r="Z26" s="1335" t="str">
        <f t="shared" ref="Z26:Z36" si="15">Q26</f>
        <v>配套类型</v>
      </c>
      <c r="AA26" s="1377" t="e">
        <f t="shared" si="3"/>
        <v>#DIV/0!</v>
      </c>
      <c r="AB26" s="1377" t="e">
        <f t="shared" si="4"/>
        <v>#DIV/0!</v>
      </c>
      <c r="AC26" s="1377" t="e">
        <f t="shared" si="5"/>
        <v>#DIV/0!</v>
      </c>
    </row>
    <row r="27" s="1116" customFormat="1" ht="15.5" spans="1:29">
      <c r="A27" s="1635"/>
      <c r="B27" s="1204" t="s">
        <v>1574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1475</v>
      </c>
      <c r="S27" s="1364">
        <f t="shared" si="12"/>
        <v>100</v>
      </c>
      <c r="T27" s="1363" t="s">
        <v>1475</v>
      </c>
      <c r="U27" s="1364">
        <f t="shared" si="13"/>
        <v>100</v>
      </c>
      <c r="V27" s="1363" t="s">
        <v>1475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1475</v>
      </c>
      <c r="S28" s="1362">
        <f t="shared" si="12"/>
        <v>100</v>
      </c>
      <c r="T28" s="1361" t="s">
        <v>1475</v>
      </c>
      <c r="U28" s="1362">
        <f t="shared" si="13"/>
        <v>100</v>
      </c>
      <c r="V28" s="1361" t="s">
        <v>1475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1575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1475</v>
      </c>
      <c r="S29" s="1362" t="e">
        <f t="shared" si="12"/>
        <v>#N/A</v>
      </c>
      <c r="T29" s="1361" t="s">
        <v>1475</v>
      </c>
      <c r="U29" s="1362" t="e">
        <f t="shared" si="13"/>
        <v>#N/A</v>
      </c>
      <c r="V29" s="1361" t="s">
        <v>1475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1576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1475</v>
      </c>
      <c r="S30" s="1362">
        <f t="shared" si="12"/>
        <v>100</v>
      </c>
      <c r="T30" s="1361" t="s">
        <v>1475</v>
      </c>
      <c r="U30" s="1362">
        <f t="shared" si="13"/>
        <v>100</v>
      </c>
      <c r="V30" s="1361" t="s">
        <v>1475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1577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1475</v>
      </c>
      <c r="S31" s="1357" t="e">
        <f t="shared" si="12"/>
        <v>#N/A</v>
      </c>
      <c r="T31" s="1356" t="s">
        <v>1475</v>
      </c>
      <c r="U31" s="1357" t="e">
        <f t="shared" si="13"/>
        <v>#N/A</v>
      </c>
      <c r="V31" s="1356" t="s">
        <v>1475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1578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1495</v>
      </c>
      <c r="Q32" s="699" t="str">
        <f t="shared" si="11"/>
        <v>车位类型</v>
      </c>
      <c r="R32" s="1361" t="s">
        <v>1475</v>
      </c>
      <c r="S32" s="1362">
        <f t="shared" si="12"/>
        <v>100</v>
      </c>
      <c r="T32" s="1361" t="s">
        <v>1475</v>
      </c>
      <c r="U32" s="1362">
        <f t="shared" si="13"/>
        <v>100</v>
      </c>
      <c r="V32" s="1361" t="s">
        <v>1475</v>
      </c>
      <c r="W32" s="1362">
        <f t="shared" si="14"/>
        <v>100</v>
      </c>
      <c r="X32" s="1348"/>
      <c r="Y32" s="1323" t="s">
        <v>1495</v>
      </c>
      <c r="Z32" s="1335" t="str">
        <f t="shared" si="15"/>
        <v>车位类型</v>
      </c>
      <c r="AA32" s="1377">
        <f t="shared" si="3"/>
        <v>1</v>
      </c>
      <c r="AB32" s="1377">
        <f t="shared" si="4"/>
        <v>1</v>
      </c>
      <c r="AC32" s="1377">
        <f t="shared" si="5"/>
        <v>1</v>
      </c>
    </row>
    <row r="33" ht="15.5" spans="1:29">
      <c r="A33" s="1637"/>
      <c r="B33" s="1204" t="s">
        <v>1579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1475</v>
      </c>
      <c r="S33" s="1362">
        <f t="shared" si="12"/>
        <v>100</v>
      </c>
      <c r="T33" s="1361" t="s">
        <v>1475</v>
      </c>
      <c r="U33" s="1362">
        <f t="shared" si="13"/>
        <v>100</v>
      </c>
      <c r="V33" s="1361" t="s">
        <v>1475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1475</v>
      </c>
      <c r="S35" s="1364">
        <f t="shared" si="12"/>
        <v>100</v>
      </c>
      <c r="T35" s="1363" t="s">
        <v>1475</v>
      </c>
      <c r="U35" s="1364">
        <f t="shared" si="13"/>
        <v>100</v>
      </c>
      <c r="V35" s="1363" t="s">
        <v>1475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1475</v>
      </c>
      <c r="S36" s="1362">
        <f t="shared" si="12"/>
        <v>100</v>
      </c>
      <c r="T36" s="1361" t="s">
        <v>1475</v>
      </c>
      <c r="U36" s="1362">
        <f t="shared" si="13"/>
        <v>100</v>
      </c>
      <c r="V36" s="1361" t="s">
        <v>1475</v>
      </c>
      <c r="W36" s="1362">
        <f t="shared" si="14"/>
        <v>100</v>
      </c>
      <c r="X36" s="1348"/>
      <c r="Y36" s="1323"/>
      <c r="Z36" s="1335">
        <f t="shared" si="15"/>
        <v>111</v>
      </c>
      <c r="AA36" s="1377">
        <f t="shared" si="3"/>
        <v>1</v>
      </c>
      <c r="AB36" s="1377">
        <f t="shared" si="4"/>
        <v>1</v>
      </c>
      <c r="AC36" s="1377">
        <f t="shared" si="5"/>
        <v>1</v>
      </c>
    </row>
    <row r="37" spans="1:29">
      <c r="A37" s="1225" t="s">
        <v>1580</v>
      </c>
      <c r="B37" s="1640" t="s">
        <v>1581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1507</v>
      </c>
      <c r="B38" s="1580" t="str">
        <f>B37</f>
        <v>元/平方米</v>
      </c>
      <c r="C38" s="1581" t="e">
        <f>R39</f>
        <v>#DIV/0!</v>
      </c>
      <c r="D38" s="1236" t="s">
        <v>1508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1582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1473</v>
      </c>
      <c r="B48" s="1586"/>
      <c r="C48" s="1587" t="str">
        <f>YEAR(C7)&amp;"-"&amp;MONTH(C7)</f>
        <v>1900-1</v>
      </c>
      <c r="D48" s="1588" t="e">
        <f>EDATE(C48,-1)</f>
        <v>#NUM!</v>
      </c>
      <c r="E48" s="1588" t="e">
        <f t="shared" ref="E48:O48" si="16">EDATE(D48,-1)</f>
        <v>#NUM!</v>
      </c>
      <c r="F48" s="1588" t="e">
        <f t="shared" si="16"/>
        <v>#NUM!</v>
      </c>
      <c r="G48" s="1588" t="e">
        <f t="shared" si="16"/>
        <v>#NUM!</v>
      </c>
      <c r="H48" s="1588" t="e">
        <f t="shared" si="16"/>
        <v>#NUM!</v>
      </c>
      <c r="I48" s="1588" t="e">
        <f t="shared" si="16"/>
        <v>#NUM!</v>
      </c>
      <c r="J48" s="1588" t="e">
        <f t="shared" si="16"/>
        <v>#NUM!</v>
      </c>
      <c r="K48" s="1588" t="e">
        <f t="shared" si="16"/>
        <v>#NUM!</v>
      </c>
      <c r="L48" s="1588" t="e">
        <f t="shared" si="16"/>
        <v>#NUM!</v>
      </c>
      <c r="M48" s="1588" t="e">
        <f t="shared" si="16"/>
        <v>#NUM!</v>
      </c>
      <c r="N48" s="1588" t="e">
        <f t="shared" si="16"/>
        <v>#NUM!</v>
      </c>
      <c r="O48" s="1588" t="e">
        <f t="shared" si="16"/>
        <v>#NUM!</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1514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1476</v>
      </c>
      <c r="B51" s="1391"/>
      <c r="C51" s="1392" t="s">
        <v>1515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1516</v>
      </c>
      <c r="B53" s="1397" t="s">
        <v>1479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1484</v>
      </c>
      <c r="B63" s="1397" t="s">
        <v>1487</v>
      </c>
      <c r="C63" s="1418" t="s">
        <v>1517</v>
      </c>
      <c r="D63" s="1418" t="s">
        <v>1518</v>
      </c>
      <c r="E63" s="1418" t="s">
        <v>1519</v>
      </c>
      <c r="F63" s="1418" t="s">
        <v>1520</v>
      </c>
      <c r="G63" s="1418" t="s">
        <v>1521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1488</v>
      </c>
      <c r="C65" s="1420" t="s">
        <v>1517</v>
      </c>
      <c r="D65" s="1420" t="s">
        <v>1518</v>
      </c>
      <c r="E65" s="1420" t="s">
        <v>1519</v>
      </c>
      <c r="F65" s="1420" t="s">
        <v>1520</v>
      </c>
      <c r="G65" s="1420" t="s">
        <v>1521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1489</v>
      </c>
      <c r="C67" s="1425" t="s">
        <v>1522</v>
      </c>
      <c r="D67" s="1425" t="s">
        <v>1523</v>
      </c>
      <c r="E67" s="1425" t="s">
        <v>1524</v>
      </c>
      <c r="F67" s="1425" t="s">
        <v>1525</v>
      </c>
      <c r="G67" s="1425" t="s">
        <v>1526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1490</v>
      </c>
      <c r="C69" s="1420" t="s">
        <v>1517</v>
      </c>
      <c r="D69" s="1420" t="s">
        <v>1518</v>
      </c>
      <c r="E69" s="1420" t="s">
        <v>1519</v>
      </c>
      <c r="F69" s="1420" t="s">
        <v>1520</v>
      </c>
      <c r="G69" s="1420" t="s">
        <v>1521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1552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1493</v>
      </c>
      <c r="B79" s="1397" t="s">
        <v>1583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1574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1575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1576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1577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1578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1579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1584</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IF(C2="——",C37,ROUND(B2*10000/D3,0))</f>
        <v>#DIV/0!</v>
      </c>
      <c r="C3" s="1546" t="s">
        <v>1459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SUMIF(46:46,YEAR(E7)&amp;"-"&amp;MONTH(E7),47:47)</f>
        <v>100</v>
      </c>
      <c r="G7" s="1157"/>
      <c r="H7" s="1154">
        <f>SUMIF(46:46,YEAR(G7)&amp;"-"&amp;MONTH(G7),47:47)</f>
        <v>100</v>
      </c>
      <c r="I7" s="1155"/>
      <c r="J7" s="1154">
        <f>SUMIF(46:46,YEAR(I7)&amp;"-"&amp;MONTH(I7),47:47)</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4" si="3">D8/F8</f>
        <v>1</v>
      </c>
      <c r="AB8" s="1375">
        <f t="shared" ref="AB8:AB34" si="4">D8/H8</f>
        <v>1</v>
      </c>
      <c r="AC8" s="1375">
        <f t="shared" ref="AC8:AC34" si="5">D8/J8</f>
        <v>1</v>
      </c>
    </row>
    <row r="9" s="1114" customFormat="1" spans="1:29">
      <c r="A9" s="1159" t="s">
        <v>1478</v>
      </c>
      <c r="B9" s="1160" t="s">
        <v>1479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163"/>
      <c r="B10" s="1164" t="s">
        <v>1482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81" t="s">
        <v>1484</v>
      </c>
      <c r="B14" s="1502" t="s">
        <v>1487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1488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1489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1552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563" t="s">
        <v>1493</v>
      </c>
      <c r="B26" s="1160" t="s">
        <v>1499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1495</v>
      </c>
      <c r="Q26" s="699" t="str">
        <f t="shared" si="11"/>
        <v>公共部分装修</v>
      </c>
      <c r="R26" s="1361" t="s">
        <v>1475</v>
      </c>
      <c r="S26" s="1362">
        <f t="shared" ref="S26:S34" si="12">F26</f>
        <v>100</v>
      </c>
      <c r="T26" s="1361" t="s">
        <v>1475</v>
      </c>
      <c r="U26" s="1362">
        <f t="shared" ref="U26:U34" si="13">H26</f>
        <v>100</v>
      </c>
      <c r="V26" s="1361" t="s">
        <v>1475</v>
      </c>
      <c r="W26" s="1362">
        <f t="shared" ref="W26:W34" si="14">J26</f>
        <v>100</v>
      </c>
      <c r="X26" s="1348"/>
      <c r="Y26" s="1323" t="s">
        <v>1495</v>
      </c>
      <c r="Z26" s="1335" t="str">
        <f t="shared" ref="Z26:Z34" si="15">Q26</f>
        <v>公共部分装修</v>
      </c>
      <c r="AA26" s="1377">
        <f t="shared" si="3"/>
        <v>1</v>
      </c>
      <c r="AB26" s="1377">
        <f t="shared" si="4"/>
        <v>1</v>
      </c>
      <c r="AC26" s="1377">
        <f t="shared" si="5"/>
        <v>1</v>
      </c>
    </row>
    <row r="27" s="1116" customFormat="1" ht="15.5" spans="1:29">
      <c r="A27" s="1223"/>
      <c r="B27" s="1164" t="s">
        <v>1575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1475</v>
      </c>
      <c r="S27" s="1364" t="e">
        <f t="shared" si="12"/>
        <v>#N/A</v>
      </c>
      <c r="T27" s="1363" t="s">
        <v>1475</v>
      </c>
      <c r="U27" s="1364" t="e">
        <f t="shared" si="13"/>
        <v>#N/A</v>
      </c>
      <c r="V27" s="1363" t="s">
        <v>1475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1576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1475</v>
      </c>
      <c r="S28" s="1362">
        <f t="shared" si="12"/>
        <v>100</v>
      </c>
      <c r="T28" s="1361" t="s">
        <v>1475</v>
      </c>
      <c r="U28" s="1362">
        <f t="shared" si="13"/>
        <v>100</v>
      </c>
      <c r="V28" s="1361" t="s">
        <v>1475</v>
      </c>
      <c r="W28" s="1362">
        <f t="shared" si="14"/>
        <v>100</v>
      </c>
      <c r="X28" s="1348"/>
      <c r="Y28" s="1323"/>
      <c r="Z28" s="1335" t="str">
        <f t="shared" si="15"/>
        <v>物业等级</v>
      </c>
      <c r="AA28" s="1377">
        <f t="shared" si="3"/>
        <v>1</v>
      </c>
      <c r="AB28" s="1377">
        <f t="shared" si="4"/>
        <v>1</v>
      </c>
      <c r="AC28" s="1377">
        <f t="shared" si="5"/>
        <v>1</v>
      </c>
    </row>
    <row r="29" ht="15.5" spans="1:29">
      <c r="A29" s="1218"/>
      <c r="B29" s="1164" t="s">
        <v>1585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1475</v>
      </c>
      <c r="S29" s="1362">
        <f t="shared" si="12"/>
        <v>100</v>
      </c>
      <c r="T29" s="1361" t="s">
        <v>1475</v>
      </c>
      <c r="U29" s="1362">
        <f t="shared" si="13"/>
        <v>100</v>
      </c>
      <c r="V29" s="1361" t="s">
        <v>1475</v>
      </c>
      <c r="W29" s="1362">
        <f t="shared" si="14"/>
        <v>100</v>
      </c>
      <c r="X29" s="1348"/>
      <c r="Y29" s="1323"/>
      <c r="Z29" s="1335" t="str">
        <f t="shared" si="15"/>
        <v>有无电梯</v>
      </c>
      <c r="AA29" s="1377">
        <f t="shared" si="3"/>
        <v>1</v>
      </c>
      <c r="AB29" s="1377">
        <f t="shared" si="4"/>
        <v>1</v>
      </c>
      <c r="AC29" s="1377">
        <f t="shared" si="5"/>
        <v>1</v>
      </c>
    </row>
    <row r="30" ht="15.5" spans="1:29">
      <c r="A30" s="1218"/>
      <c r="B30" s="1164" t="s">
        <v>589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1475</v>
      </c>
      <c r="S30" s="1362" t="e">
        <f t="shared" si="12"/>
        <v>#N/A</v>
      </c>
      <c r="T30" s="1361" t="s">
        <v>1475</v>
      </c>
      <c r="U30" s="1362" t="e">
        <f t="shared" si="13"/>
        <v>#N/A</v>
      </c>
      <c r="V30" s="1361" t="s">
        <v>1475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1586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1475</v>
      </c>
      <c r="S31" s="1357">
        <f t="shared" si="12"/>
        <v>100</v>
      </c>
      <c r="T31" s="1356" t="s">
        <v>1475</v>
      </c>
      <c r="U31" s="1357">
        <f t="shared" si="13"/>
        <v>100</v>
      </c>
      <c r="V31" s="1356" t="s">
        <v>1475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1495</v>
      </c>
      <c r="Q32" s="699">
        <f t="shared" si="11"/>
        <v>111</v>
      </c>
      <c r="R32" s="1361" t="s">
        <v>1475</v>
      </c>
      <c r="S32" s="1362">
        <f t="shared" si="12"/>
        <v>100</v>
      </c>
      <c r="T32" s="1361" t="s">
        <v>1475</v>
      </c>
      <c r="U32" s="1362">
        <f t="shared" si="13"/>
        <v>100</v>
      </c>
      <c r="V32" s="1361" t="s">
        <v>1475</v>
      </c>
      <c r="W32" s="1362">
        <f t="shared" si="14"/>
        <v>100</v>
      </c>
      <c r="X32" s="1348"/>
      <c r="Y32" s="1323" t="s">
        <v>1495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1475</v>
      </c>
      <c r="S33" s="1362">
        <f t="shared" si="12"/>
        <v>100</v>
      </c>
      <c r="T33" s="1361" t="s">
        <v>1475</v>
      </c>
      <c r="U33" s="1362">
        <f t="shared" si="13"/>
        <v>100</v>
      </c>
      <c r="V33" s="1361" t="s">
        <v>1475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pans="1:29">
      <c r="A35" s="1225" t="s">
        <v>1506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1507</v>
      </c>
      <c r="B36" s="1580"/>
      <c r="C36" s="1581" t="e">
        <f>R37</f>
        <v>#N/A</v>
      </c>
      <c r="D36" s="1236" t="s">
        <v>1508</v>
      </c>
      <c r="E36" s="1582" t="e">
        <f>R36</f>
        <v>#N/A</v>
      </c>
      <c r="F36" s="1237"/>
      <c r="G36" s="1581" t="e">
        <f>T36</f>
        <v>#N/A</v>
      </c>
      <c r="H36" s="1237"/>
      <c r="I36" s="1582" t="e">
        <f>V36</f>
        <v>#N/A</v>
      </c>
      <c r="J36" s="1237"/>
      <c r="K36" s="1328">
        <f>F36+H36+J36</f>
        <v>0</v>
      </c>
      <c r="L36" s="1327"/>
      <c r="M36" s="1242"/>
      <c r="N36" s="1295"/>
      <c r="O36" s="1242"/>
      <c r="P36" s="699" t="str">
        <f>A36</f>
        <v>比较价值（元/平方米）</v>
      </c>
      <c r="Q36" s="699"/>
      <c r="R36" s="1377" t="e">
        <f>IF(F1="售价",ROUND(PRODUCT(R35,AA7:AA34),0),ROUND(PRODUCT(R35,AA7:AA34),1))</f>
        <v>#N/A</v>
      </c>
      <c r="S36" s="1377"/>
      <c r="T36" s="1377" t="e">
        <f>IF(F1="售价",ROUND(PRODUCT(T35,AB7:AB34),0),ROUND(PRODUCT(T35,AB7:AB34),1))</f>
        <v>#N/A</v>
      </c>
      <c r="U36" s="1377"/>
      <c r="V36" s="1377" t="e">
        <f>IF(F1="售价",ROUND(PRODUCT(V35,AC7:AC34),0),ROUND(PRODUCT(V35,AC7:AC34),1))</f>
        <v>#N/A</v>
      </c>
      <c r="W36" s="1377"/>
      <c r="X36" s="1283"/>
      <c r="Y36" s="1283"/>
      <c r="Z36" s="1283"/>
      <c r="AA36" s="1283"/>
      <c r="AB36" s="1283"/>
      <c r="AC36" s="1283"/>
    </row>
    <row r="37" ht="14.75" spans="1:29">
      <c r="A37" s="1239" t="s">
        <v>1509</v>
      </c>
      <c r="B37" s="1240"/>
      <c r="C37" s="1583" t="e">
        <f>R37</f>
        <v>#N/A</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#N/A</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1510</v>
      </c>
      <c r="D40" s="743"/>
      <c r="E40" s="1245" t="e">
        <f>IF(E35&lt;E36,E36/E35-1,E35/E36-1)</f>
        <v>#N/A</v>
      </c>
      <c r="F40" s="1246" t="e">
        <f>IF(OR(E40&gt;=0.3,E40&lt;=-0.3),"超过30%","")</f>
        <v>#N/A</v>
      </c>
      <c r="G40" s="1245" t="e">
        <f>IF(G35&lt;G36,G36/G35-1,G35/G36-1)</f>
        <v>#N/A</v>
      </c>
      <c r="H40" s="1246" t="e">
        <f>IF(OR(G40&gt;=0.3,G40&lt;=-0.3),"超过30%","")</f>
        <v>#N/A</v>
      </c>
      <c r="I40" s="1245" t="e">
        <f>IF(I35&lt;I36,I36/I35-1,I35/I36-1)</f>
        <v>#N/A</v>
      </c>
      <c r="J40" s="1246" t="e">
        <f>IF(OR(I40&gt;=0.3,I40&lt;=-0.3),"超过30%","")</f>
        <v>#N/A</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1511</v>
      </c>
      <c r="D41" s="742"/>
      <c r="E41" s="1245" t="e">
        <f>IF(E36&lt;G36,G36/E36-1,E36/G36-1)</f>
        <v>#N/A</v>
      </c>
      <c r="F41" s="1246" t="e">
        <f>IF(OR(E41&gt;=0.2,E41&lt;=-0.2),"超过20%","")</f>
        <v>#N/A</v>
      </c>
      <c r="G41" s="1245" t="e">
        <f>IF(G36&lt;I36,I36/G36-1,G36/I36-1)</f>
        <v>#N/A</v>
      </c>
      <c r="H41" s="1246" t="e">
        <f>IF(OR(G41&gt;=0.2,G41&lt;=-0.2),"超过20%","")</f>
        <v>#N/A</v>
      </c>
      <c r="I41" s="1245" t="e">
        <f>IF(I36&lt;E36,E36/I36-1,I36/E36-1)</f>
        <v>#N/A</v>
      </c>
      <c r="J41" s="1246" t="e">
        <f>IF(OR(I41&gt;=0.2,I41&lt;=-0.2),"超过20%","")</f>
        <v>#N/A</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1473</v>
      </c>
      <c r="B46" s="1586"/>
      <c r="C46" s="1587" t="str">
        <f>YEAR(C7)&amp;"-"&amp;MONTH(C7)</f>
        <v>1900-1</v>
      </c>
      <c r="D46" s="1588" t="e">
        <f>EDATE(C46,-1)</f>
        <v>#NUM!</v>
      </c>
      <c r="E46" s="1588" t="e">
        <f t="shared" ref="E46:O46" si="16">EDATE(D46,-1)</f>
        <v>#NUM!</v>
      </c>
      <c r="F46" s="1588" t="e">
        <f t="shared" si="16"/>
        <v>#NUM!</v>
      </c>
      <c r="G46" s="1588" t="e">
        <f t="shared" si="16"/>
        <v>#NUM!</v>
      </c>
      <c r="H46" s="1588" t="e">
        <f t="shared" si="16"/>
        <v>#NUM!</v>
      </c>
      <c r="I46" s="1588" t="e">
        <f t="shared" si="16"/>
        <v>#NUM!</v>
      </c>
      <c r="J46" s="1588" t="e">
        <f t="shared" si="16"/>
        <v>#NUM!</v>
      </c>
      <c r="K46" s="1588" t="e">
        <f t="shared" si="16"/>
        <v>#NUM!</v>
      </c>
      <c r="L46" s="1588" t="e">
        <f t="shared" si="16"/>
        <v>#NUM!</v>
      </c>
      <c r="M46" s="1588" t="e">
        <f t="shared" si="16"/>
        <v>#NUM!</v>
      </c>
      <c r="N46" s="1588" t="e">
        <f t="shared" si="16"/>
        <v>#NUM!</v>
      </c>
      <c r="O46" s="1588" t="e">
        <f t="shared" si="16"/>
        <v>#NUM!</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1514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1476</v>
      </c>
      <c r="B49" s="1391"/>
      <c r="C49" s="1392" t="s">
        <v>1515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1516</v>
      </c>
      <c r="B51" s="1397" t="s">
        <v>1479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1484</v>
      </c>
      <c r="B61" s="1397" t="s">
        <v>1487</v>
      </c>
      <c r="C61" s="1418" t="s">
        <v>1517</v>
      </c>
      <c r="D61" s="1418" t="s">
        <v>1518</v>
      </c>
      <c r="E61" s="1418" t="s">
        <v>1519</v>
      </c>
      <c r="F61" s="1418" t="s">
        <v>1520</v>
      </c>
      <c r="G61" s="1418" t="s">
        <v>1521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1587</v>
      </c>
      <c r="C63" s="1420" t="s">
        <v>1517</v>
      </c>
      <c r="D63" s="1420" t="s">
        <v>1518</v>
      </c>
      <c r="E63" s="1420" t="s">
        <v>1519</v>
      </c>
      <c r="F63" s="1420" t="s">
        <v>1520</v>
      </c>
      <c r="G63" s="1420" t="s">
        <v>1521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1489</v>
      </c>
      <c r="C65" s="1425" t="s">
        <v>1522</v>
      </c>
      <c r="D65" s="1425" t="s">
        <v>1523</v>
      </c>
      <c r="E65" s="1425" t="s">
        <v>1524</v>
      </c>
      <c r="F65" s="1425" t="s">
        <v>1525</v>
      </c>
      <c r="G65" s="1425" t="s">
        <v>1526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1490</v>
      </c>
      <c r="C67" s="1420" t="s">
        <v>1517</v>
      </c>
      <c r="D67" s="1420" t="s">
        <v>1518</v>
      </c>
      <c r="E67" s="1420" t="s">
        <v>1519</v>
      </c>
      <c r="F67" s="1420" t="s">
        <v>1520</v>
      </c>
      <c r="G67" s="1420" t="s">
        <v>1521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1552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1493</v>
      </c>
      <c r="B77" s="1397" t="s">
        <v>1499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1575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1576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1585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589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1586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1588</v>
      </c>
      <c r="B1" s="1124"/>
      <c r="C1" s="1125" t="s">
        <v>1589</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979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SUMIF(69:69,YEAR(E7)&amp;"-"&amp;INT((MONTH(E7)+2)/3),70:70)</f>
        <v>100</v>
      </c>
      <c r="G7" s="1157"/>
      <c r="H7" s="1154">
        <f>SUMIF(69:69,YEAR(G7)&amp;"-"&amp;INT((MONTH(G7)+2)/3),70:70)</f>
        <v>100</v>
      </c>
      <c r="I7" s="1157"/>
      <c r="J7" s="1154">
        <f>SUMIF(69:69,YEAR(I7)&amp;"-"&amp;INT((MONTH(I7)+2)/3),70:70)</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5" si="3">D8/F8</f>
        <v>#DIV/0!</v>
      </c>
      <c r="AB8" s="1375" t="e">
        <f t="shared" ref="AB8:AB45" si="4">D8/H8</f>
        <v>#DIV/0!</v>
      </c>
      <c r="AC8" s="1375" t="e">
        <f t="shared" ref="AC8:AC45" si="5">D8/J8</f>
        <v>#DIV/0!</v>
      </c>
    </row>
    <row r="9" s="1114" customFormat="1" spans="1:29">
      <c r="A9" s="1159" t="s">
        <v>1478</v>
      </c>
      <c r="B9" s="1160" t="s">
        <v>1479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1590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1475</v>
      </c>
      <c r="S12" s="1357">
        <f t="shared" si="0"/>
        <v>100</v>
      </c>
      <c r="T12" s="1356" t="s">
        <v>1475</v>
      </c>
      <c r="U12" s="1357">
        <f t="shared" si="1"/>
        <v>100</v>
      </c>
      <c r="V12" s="1356" t="s">
        <v>1475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1548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1475</v>
      </c>
      <c r="S17" s="1362">
        <f>F17</f>
        <v>100</v>
      </c>
      <c r="T17" s="1361" t="s">
        <v>1475</v>
      </c>
      <c r="U17" s="1362">
        <f>H17</f>
        <v>100</v>
      </c>
      <c r="V17" s="1361" t="s">
        <v>1475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1560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1475</v>
      </c>
      <c r="S19" s="1362">
        <f>F19</f>
        <v>100</v>
      </c>
      <c r="T19" s="1361" t="s">
        <v>1475</v>
      </c>
      <c r="U19" s="1362">
        <f>H19</f>
        <v>100</v>
      </c>
      <c r="V19" s="1361" t="s">
        <v>1475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1487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1475</v>
      </c>
      <c r="S21" s="1362">
        <f>F21</f>
        <v>100</v>
      </c>
      <c r="T21" s="1361" t="s">
        <v>1475</v>
      </c>
      <c r="U21" s="1362">
        <f>H21</f>
        <v>100</v>
      </c>
      <c r="V21" s="1361" t="s">
        <v>1475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1591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1475</v>
      </c>
      <c r="S23" s="1362">
        <f>F23</f>
        <v>100</v>
      </c>
      <c r="T23" s="1361" t="s">
        <v>1475</v>
      </c>
      <c r="U23" s="1362">
        <f>H23</f>
        <v>100</v>
      </c>
      <c r="V23" s="1361" t="s">
        <v>1475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1592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1475</v>
      </c>
      <c r="S25" s="1362">
        <f>F25</f>
        <v>100</v>
      </c>
      <c r="T25" s="1361" t="s">
        <v>1475</v>
      </c>
      <c r="U25" s="1362">
        <f>H25</f>
        <v>100</v>
      </c>
      <c r="V25" s="1361" t="s">
        <v>1475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1488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1475</v>
      </c>
      <c r="S27" s="1357">
        <f>F27</f>
        <v>100</v>
      </c>
      <c r="T27" s="1356" t="s">
        <v>1475</v>
      </c>
      <c r="U27" s="1357">
        <f>H27</f>
        <v>100</v>
      </c>
      <c r="V27" s="1356" t="s">
        <v>1475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1489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1475</v>
      </c>
      <c r="S29" s="1357">
        <f>F29</f>
        <v>100</v>
      </c>
      <c r="T29" s="1356" t="s">
        <v>1475</v>
      </c>
      <c r="U29" s="1357">
        <f>H29</f>
        <v>100</v>
      </c>
      <c r="V29" s="1356" t="s">
        <v>1475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1549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1475</v>
      </c>
      <c r="S31" s="1362">
        <f t="shared" ref="S31:S45" si="10">F31</f>
        <v>100</v>
      </c>
      <c r="T31" s="1361" t="s">
        <v>1475</v>
      </c>
      <c r="U31" s="1362">
        <f t="shared" ref="U31:U45" si="11">H31</f>
        <v>100</v>
      </c>
      <c r="V31" s="1361" t="s">
        <v>1475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1562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1475</v>
      </c>
      <c r="S32" s="1362">
        <f t="shared" si="10"/>
        <v>100</v>
      </c>
      <c r="T32" s="1361" t="s">
        <v>1475</v>
      </c>
      <c r="U32" s="1362">
        <f t="shared" si="11"/>
        <v>100</v>
      </c>
      <c r="V32" s="1361" t="s">
        <v>1475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1593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1475</v>
      </c>
      <c r="S34" s="1362">
        <f t="shared" si="10"/>
        <v>100</v>
      </c>
      <c r="T34" s="1361" t="s">
        <v>1475</v>
      </c>
      <c r="U34" s="1362">
        <f t="shared" si="11"/>
        <v>100</v>
      </c>
      <c r="V34" s="1361" t="s">
        <v>1475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1475</v>
      </c>
      <c r="S35" s="1362">
        <f t="shared" si="10"/>
        <v>100</v>
      </c>
      <c r="T35" s="1361" t="s">
        <v>1475</v>
      </c>
      <c r="U35" s="1362">
        <f t="shared" si="11"/>
        <v>100</v>
      </c>
      <c r="V35" s="1361" t="s">
        <v>1475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1495</v>
      </c>
      <c r="Q36" s="699">
        <f t="shared" si="8"/>
        <v>111</v>
      </c>
      <c r="R36" s="1361" t="s">
        <v>1475</v>
      </c>
      <c r="S36" s="1362">
        <f t="shared" si="10"/>
        <v>100</v>
      </c>
      <c r="T36" s="1361" t="s">
        <v>1475</v>
      </c>
      <c r="U36" s="1362">
        <f t="shared" si="11"/>
        <v>100</v>
      </c>
      <c r="V36" s="1361" t="s">
        <v>1475</v>
      </c>
      <c r="W36" s="1362">
        <f t="shared" si="12"/>
        <v>100</v>
      </c>
      <c r="X36" s="1348"/>
      <c r="Y36" s="1323" t="s">
        <v>1495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1475</v>
      </c>
      <c r="S37" s="1364">
        <f t="shared" si="10"/>
        <v>100</v>
      </c>
      <c r="T37" s="1363" t="s">
        <v>1475</v>
      </c>
      <c r="U37" s="1364">
        <f t="shared" si="11"/>
        <v>100</v>
      </c>
      <c r="V37" s="1363" t="s">
        <v>1475</v>
      </c>
      <c r="W37" s="1364">
        <f t="shared" si="12"/>
        <v>100</v>
      </c>
      <c r="X37" s="1365"/>
      <c r="Y37" s="1323"/>
      <c r="Z37" s="1378">
        <f t="shared" si="13"/>
        <v>111</v>
      </c>
      <c r="AA37" s="1377">
        <f t="shared" si="3"/>
        <v>1</v>
      </c>
      <c r="AB37" s="1377">
        <f t="shared" si="4"/>
        <v>1</v>
      </c>
      <c r="AC37" s="1377">
        <f t="shared" si="5"/>
        <v>1</v>
      </c>
    </row>
    <row r="38" ht="15.5" spans="1:29">
      <c r="A38" s="1218" t="s">
        <v>1493</v>
      </c>
      <c r="B38" s="1215" t="s">
        <v>1594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1475</v>
      </c>
      <c r="S38" s="1362" t="e">
        <f t="shared" si="10"/>
        <v>#N/A</v>
      </c>
      <c r="T38" s="1361" t="s">
        <v>1475</v>
      </c>
      <c r="U38" s="1362" t="e">
        <f t="shared" si="11"/>
        <v>#N/A</v>
      </c>
      <c r="V38" s="1361" t="s">
        <v>1475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1595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1475</v>
      </c>
      <c r="S39" s="1362">
        <f t="shared" si="10"/>
        <v>100</v>
      </c>
      <c r="T39" s="1361" t="s">
        <v>1475</v>
      </c>
      <c r="U39" s="1362">
        <f t="shared" si="11"/>
        <v>100</v>
      </c>
      <c r="V39" s="1361" t="s">
        <v>1475</v>
      </c>
      <c r="W39" s="1362">
        <f t="shared" si="12"/>
        <v>100</v>
      </c>
      <c r="X39" s="1348"/>
      <c r="Y39" s="1323"/>
      <c r="Z39" s="1335" t="str">
        <f t="shared" si="13"/>
        <v>宗地形状</v>
      </c>
      <c r="AA39" s="1377">
        <f t="shared" si="3"/>
        <v>1</v>
      </c>
      <c r="AB39" s="1377">
        <f t="shared" si="4"/>
        <v>1</v>
      </c>
      <c r="AC39" s="1377">
        <f t="shared" si="5"/>
        <v>1</v>
      </c>
    </row>
    <row r="40" ht="15.5" spans="1:29">
      <c r="A40" s="1218"/>
      <c r="B40" s="1164" t="s">
        <v>1596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1475</v>
      </c>
      <c r="S40" s="1362">
        <f t="shared" si="10"/>
        <v>100</v>
      </c>
      <c r="T40" s="1361" t="s">
        <v>1475</v>
      </c>
      <c r="U40" s="1362">
        <f t="shared" si="11"/>
        <v>100</v>
      </c>
      <c r="V40" s="1361" t="s">
        <v>1475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1597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1475</v>
      </c>
      <c r="S41" s="1357">
        <f t="shared" si="10"/>
        <v>100</v>
      </c>
      <c r="T41" s="1356" t="s">
        <v>1475</v>
      </c>
      <c r="U41" s="1357">
        <f t="shared" si="11"/>
        <v>100</v>
      </c>
      <c r="V41" s="1356" t="s">
        <v>1475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1598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1495</v>
      </c>
      <c r="Q42" s="699" t="str">
        <f t="shared" si="14"/>
        <v>工程地质条件</v>
      </c>
      <c r="R42" s="1361" t="s">
        <v>1475</v>
      </c>
      <c r="S42" s="1362">
        <f t="shared" si="10"/>
        <v>100</v>
      </c>
      <c r="T42" s="1361" t="s">
        <v>1475</v>
      </c>
      <c r="U42" s="1362">
        <f t="shared" si="11"/>
        <v>100</v>
      </c>
      <c r="V42" s="1361" t="s">
        <v>1475</v>
      </c>
      <c r="W42" s="1362">
        <f t="shared" si="12"/>
        <v>100</v>
      </c>
      <c r="X42" s="1348"/>
      <c r="Y42" s="1323" t="s">
        <v>1495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1475</v>
      </c>
      <c r="S43" s="1362">
        <f t="shared" si="10"/>
        <v>100</v>
      </c>
      <c r="T43" s="1361" t="s">
        <v>1475</v>
      </c>
      <c r="U43" s="1362">
        <f t="shared" si="11"/>
        <v>100</v>
      </c>
      <c r="V43" s="1361" t="s">
        <v>1475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1475</v>
      </c>
      <c r="S44" s="1362">
        <f t="shared" si="10"/>
        <v>100</v>
      </c>
      <c r="T44" s="1361" t="s">
        <v>1475</v>
      </c>
      <c r="U44" s="1362">
        <f t="shared" si="11"/>
        <v>100</v>
      </c>
      <c r="V44" s="1361" t="s">
        <v>1475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1475</v>
      </c>
      <c r="S45" s="1364">
        <f t="shared" si="10"/>
        <v>100</v>
      </c>
      <c r="T45" s="1363" t="s">
        <v>1475</v>
      </c>
      <c r="U45" s="1364">
        <f t="shared" si="11"/>
        <v>100</v>
      </c>
      <c r="V45" s="1363" t="s">
        <v>1475</v>
      </c>
      <c r="W45" s="1364">
        <f t="shared" si="12"/>
        <v>100</v>
      </c>
      <c r="X45" s="1365"/>
      <c r="Y45" s="1323"/>
      <c r="Z45" s="1378">
        <f t="shared" si="13"/>
        <v>111</v>
      </c>
      <c r="AA45" s="1377">
        <f t="shared" si="3"/>
        <v>1</v>
      </c>
      <c r="AB45" s="1377">
        <f t="shared" si="4"/>
        <v>1</v>
      </c>
      <c r="AC45" s="1377">
        <f t="shared" si="5"/>
        <v>1</v>
      </c>
    </row>
    <row r="46" spans="1:29">
      <c r="A46" s="1225" t="s">
        <v>1580</v>
      </c>
      <c r="B46" s="1226" t="s">
        <v>1599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1507</v>
      </c>
      <c r="B47" s="1234"/>
      <c r="C47" s="1235" t="e">
        <f>R48</f>
        <v>#DIV/0!</v>
      </c>
      <c r="D47" s="1236" t="s">
        <v>1508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1600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1601</v>
      </c>
      <c r="B55" s="1252" t="s">
        <v>1602</v>
      </c>
      <c r="C55" s="1253" t="s">
        <v>1603</v>
      </c>
      <c r="D55" s="1254" t="s">
        <v>1604</v>
      </c>
      <c r="E55" s="1255" t="s">
        <v>1605</v>
      </c>
      <c r="F55" s="1513" t="s">
        <v>1606</v>
      </c>
      <c r="G55" s="1135" t="s">
        <v>1607</v>
      </c>
      <c r="H55" s="694"/>
      <c r="I55" s="1517" t="s">
        <v>1608</v>
      </c>
      <c r="J55" s="1518">
        <f>项目基本情况!F35</f>
        <v>0</v>
      </c>
      <c r="K55" s="1336" t="s">
        <v>1609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1610</v>
      </c>
      <c r="B56" s="1258" t="e">
        <f>C48</f>
        <v>#DIV/0!</v>
      </c>
      <c r="C56" s="1259">
        <v>1</v>
      </c>
      <c r="D56" s="1260">
        <v>1</v>
      </c>
      <c r="E56" s="1259">
        <f>'数据-汇总表'!E8+'数据-汇总表'!E9</f>
        <v>0</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1611</v>
      </c>
      <c r="B57" s="410" t="e">
        <f>ROUND($C$48*C57*D57,0)</f>
        <v>#DIV/0!</v>
      </c>
      <c r="C57" s="613">
        <f t="shared" ref="C57:C64" si="16">IF($C$55="北京市系数",I57,J57)</f>
        <v>0</v>
      </c>
      <c r="D57" s="1264">
        <v>0.25</v>
      </c>
      <c r="E57" s="1265"/>
      <c r="F57" s="1514" t="e">
        <f t="shared" si="15"/>
        <v>#DIV/0!</v>
      </c>
      <c r="G57" s="1266" t="s">
        <v>1612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1613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1614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1615</v>
      </c>
      <c r="B60" s="410" t="e">
        <f t="shared" si="17"/>
        <v>#DIV/0!</v>
      </c>
      <c r="C60" s="613">
        <f t="shared" si="16"/>
        <v>0</v>
      </c>
      <c r="D60" s="1264">
        <v>0.25</v>
      </c>
      <c r="E60" s="409">
        <f>'数据-汇总表'!E11</f>
        <v>0</v>
      </c>
      <c r="F60" s="1514" t="e">
        <f t="shared" si="15"/>
        <v>#DIV/0!</v>
      </c>
      <c r="G60" s="1270" t="s">
        <v>1616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1617</v>
      </c>
      <c r="B61" s="410" t="e">
        <f t="shared" si="17"/>
        <v>#DIV/0!</v>
      </c>
      <c r="C61" s="613">
        <f t="shared" si="16"/>
        <v>0</v>
      </c>
      <c r="D61" s="1264">
        <v>0.25</v>
      </c>
      <c r="E61" s="409">
        <f>'数据-汇总表'!E12</f>
        <v>0</v>
      </c>
      <c r="F61" s="1514" t="e">
        <f t="shared" si="15"/>
        <v>#DIV/0!</v>
      </c>
      <c r="G61" s="1271" t="s">
        <v>1618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1619</v>
      </c>
      <c r="B62" s="410" t="e">
        <f t="shared" si="17"/>
        <v>#DIV/0!</v>
      </c>
      <c r="C62" s="613">
        <f t="shared" si="16"/>
        <v>0</v>
      </c>
      <c r="D62" s="1264">
        <v>0.25</v>
      </c>
      <c r="E62" s="409">
        <f>'数据-汇总表'!E13</f>
        <v>0</v>
      </c>
      <c r="F62" s="1514" t="e">
        <f t="shared" si="15"/>
        <v>#DIV/0!</v>
      </c>
      <c r="G62" s="1271" t="s">
        <v>1620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1621</v>
      </c>
      <c r="B63" s="410" t="e">
        <f t="shared" si="17"/>
        <v>#DIV/0!</v>
      </c>
      <c r="C63" s="613">
        <f t="shared" si="16"/>
        <v>0</v>
      </c>
      <c r="D63" s="1264">
        <v>0.25</v>
      </c>
      <c r="E63" s="409">
        <f>'数据-汇总表'!E14</f>
        <v>0</v>
      </c>
      <c r="F63" s="1514" t="e">
        <f t="shared" si="15"/>
        <v>#DIV/0!</v>
      </c>
      <c r="G63" s="1270" t="s">
        <v>1612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1622</v>
      </c>
      <c r="B64" s="410" t="e">
        <f t="shared" si="17"/>
        <v>#DIV/0!</v>
      </c>
      <c r="C64" s="613">
        <f t="shared" si="16"/>
        <v>0</v>
      </c>
      <c r="D64" s="1264">
        <v>0.25</v>
      </c>
      <c r="E64" s="409">
        <f>'数据-汇总表'!E15</f>
        <v>0</v>
      </c>
      <c r="F64" s="1514" t="e">
        <f t="shared" si="15"/>
        <v>#DIV/0!</v>
      </c>
      <c r="G64" s="1272" t="s">
        <v>1616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1623</v>
      </c>
      <c r="B65" s="1275" t="s">
        <v>1624</v>
      </c>
      <c r="C65" s="1275" t="s">
        <v>1624</v>
      </c>
      <c r="D65" s="1275" t="s">
        <v>1624</v>
      </c>
      <c r="E65" s="1275">
        <f>IF(B46="楼面地价",SUM(E56:E64),'数据-汇总表'!D3)</f>
        <v>0</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1900-1-1</v>
      </c>
      <c r="D67" s="1281" t="e">
        <f>EDATE(C67,-3)</f>
        <v>#NUM!</v>
      </c>
      <c r="E67" s="1281" t="e">
        <f>EDATE(D67,-3)</f>
        <v>#NUM!</v>
      </c>
      <c r="F67" s="1281" t="e">
        <f t="shared" ref="F67:O67" si="18">EDATE(E67,-3)</f>
        <v>#NUM!</v>
      </c>
      <c r="G67" s="1281" t="e">
        <f t="shared" si="18"/>
        <v>#NUM!</v>
      </c>
      <c r="H67" s="1281" t="e">
        <f t="shared" si="18"/>
        <v>#NUM!</v>
      </c>
      <c r="I67" s="1281" t="e">
        <f t="shared" si="18"/>
        <v>#NUM!</v>
      </c>
      <c r="J67" s="1281" t="e">
        <f t="shared" si="18"/>
        <v>#NUM!</v>
      </c>
      <c r="K67" s="1281" t="e">
        <f t="shared" si="18"/>
        <v>#NUM!</v>
      </c>
      <c r="L67" s="1281" t="e">
        <f t="shared" si="18"/>
        <v>#NUM!</v>
      </c>
      <c r="M67" s="1281" t="e">
        <f t="shared" si="18"/>
        <v>#NUM!</v>
      </c>
      <c r="N67" s="1281" t="e">
        <f t="shared" si="18"/>
        <v>#NUM!</v>
      </c>
      <c r="O67" s="1281" t="e">
        <f t="shared" si="18"/>
        <v>#NUM!</v>
      </c>
      <c r="P67" s="1242"/>
      <c r="Q67" s="1242"/>
      <c r="R67" s="1242"/>
      <c r="S67" s="1242"/>
      <c r="T67" s="1242"/>
      <c r="U67" s="1242"/>
      <c r="V67" s="1242"/>
      <c r="W67" s="1242"/>
      <c r="X67" s="1242"/>
      <c r="Y67" s="1242"/>
      <c r="Z67" s="1242"/>
      <c r="AA67" s="1242"/>
      <c r="AB67" s="1242"/>
      <c r="AC67" s="1242"/>
    </row>
    <row r="68" ht="21.75" spans="1:29">
      <c r="A68" s="1282" t="s">
        <v>1513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1625</v>
      </c>
      <c r="B69" s="1381"/>
      <c r="C69" s="1382" t="str">
        <f>YEAR(C67)&amp;"-"&amp;ROUNDUP(MONTH(C67)/3,0)</f>
        <v>1900-1</v>
      </c>
      <c r="D69" s="1382" t="e">
        <f>YEAR(D67)&amp;"-"&amp;ROUNDUP(MONTH(D67)/3,0)</f>
        <v>#NUM!</v>
      </c>
      <c r="E69" s="1382" t="e">
        <f t="shared" ref="E69:O69" si="19">YEAR(E67)&amp;"-"&amp;ROUNDUP(MONTH(E67)/3,0)</f>
        <v>#NUM!</v>
      </c>
      <c r="F69" s="1382" t="e">
        <f t="shared" si="19"/>
        <v>#NUM!</v>
      </c>
      <c r="G69" s="1382" t="e">
        <f t="shared" si="19"/>
        <v>#NUM!</v>
      </c>
      <c r="H69" s="1382" t="e">
        <f t="shared" si="19"/>
        <v>#NUM!</v>
      </c>
      <c r="I69" s="1382" t="e">
        <f t="shared" si="19"/>
        <v>#NUM!</v>
      </c>
      <c r="J69" s="1382" t="e">
        <f t="shared" si="19"/>
        <v>#NUM!</v>
      </c>
      <c r="K69" s="1382" t="e">
        <f t="shared" si="19"/>
        <v>#NUM!</v>
      </c>
      <c r="L69" s="1382" t="e">
        <f t="shared" si="19"/>
        <v>#NUM!</v>
      </c>
      <c r="M69" s="1382" t="e">
        <f t="shared" si="19"/>
        <v>#NUM!</v>
      </c>
      <c r="N69" s="1382" t="e">
        <f t="shared" si="19"/>
        <v>#NUM!</v>
      </c>
      <c r="O69" s="1382" t="e">
        <f t="shared" si="19"/>
        <v>#NUM!</v>
      </c>
      <c r="P69" s="1434"/>
      <c r="Q69" s="1490"/>
      <c r="R69" s="1490"/>
      <c r="S69" s="1490"/>
      <c r="T69" s="1490"/>
      <c r="U69" s="1490"/>
      <c r="V69" s="1490"/>
      <c r="W69" s="1490"/>
      <c r="X69" s="1490"/>
      <c r="Y69" s="1490"/>
      <c r="Z69" s="1490"/>
      <c r="AA69" s="1490"/>
      <c r="AB69" s="1490"/>
      <c r="AC69" s="1490"/>
    </row>
    <row r="70" s="1114" customFormat="1" ht="30" customHeight="1" spans="1:29">
      <c r="A70" s="1526" t="s">
        <v>1626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1514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1476</v>
      </c>
      <c r="B72" s="1391"/>
      <c r="C72" s="1392" t="s">
        <v>1515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1516</v>
      </c>
      <c r="B74" s="1397" t="s">
        <v>1479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1484</v>
      </c>
      <c r="B87" s="1397" t="s">
        <v>1485</v>
      </c>
      <c r="C87" s="1418" t="s">
        <v>1517</v>
      </c>
      <c r="D87" s="1418" t="s">
        <v>1518</v>
      </c>
      <c r="E87" s="1418" t="s">
        <v>1519</v>
      </c>
      <c r="F87" s="1418" t="s">
        <v>1520</v>
      </c>
      <c r="G87" s="1418" t="s">
        <v>1521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1548</v>
      </c>
      <c r="C89" s="1420" t="s">
        <v>1517</v>
      </c>
      <c r="D89" s="1420" t="s">
        <v>1518</v>
      </c>
      <c r="E89" s="1420" t="s">
        <v>1519</v>
      </c>
      <c r="F89" s="1420" t="s">
        <v>1520</v>
      </c>
      <c r="G89" s="1420" t="s">
        <v>1521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1560</v>
      </c>
      <c r="C91" s="1420" t="s">
        <v>1517</v>
      </c>
      <c r="D91" s="1420" t="s">
        <v>1518</v>
      </c>
      <c r="E91" s="1420" t="s">
        <v>1519</v>
      </c>
      <c r="F91" s="1420" t="s">
        <v>1520</v>
      </c>
      <c r="G91" s="1420" t="s">
        <v>1521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1487</v>
      </c>
      <c r="C93" s="1420" t="s">
        <v>1517</v>
      </c>
      <c r="D93" s="1420" t="s">
        <v>1518</v>
      </c>
      <c r="E93" s="1420" t="s">
        <v>1519</v>
      </c>
      <c r="F93" s="1420" t="s">
        <v>1520</v>
      </c>
      <c r="G93" s="1420" t="s">
        <v>1521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1591</v>
      </c>
      <c r="C95" s="1420" t="s">
        <v>1517</v>
      </c>
      <c r="D95" s="1420" t="s">
        <v>1518</v>
      </c>
      <c r="E95" s="1420" t="s">
        <v>1519</v>
      </c>
      <c r="F95" s="1420" t="s">
        <v>1520</v>
      </c>
      <c r="G95" s="1420" t="s">
        <v>1521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1592</v>
      </c>
      <c r="C97" s="1418" t="s">
        <v>1517</v>
      </c>
      <c r="D97" s="1418" t="s">
        <v>1518</v>
      </c>
      <c r="E97" s="1418" t="s">
        <v>1519</v>
      </c>
      <c r="F97" s="1418" t="s">
        <v>1520</v>
      </c>
      <c r="G97" s="1418" t="s">
        <v>1521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1488</v>
      </c>
      <c r="C99" s="1418" t="s">
        <v>1517</v>
      </c>
      <c r="D99" s="1418" t="s">
        <v>1518</v>
      </c>
      <c r="E99" s="1418" t="s">
        <v>1519</v>
      </c>
      <c r="F99" s="1418" t="s">
        <v>1520</v>
      </c>
      <c r="G99" s="1418" t="s">
        <v>1521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1489</v>
      </c>
      <c r="C101" s="1425" t="s">
        <v>1522</v>
      </c>
      <c r="D101" s="1425" t="s">
        <v>1523</v>
      </c>
      <c r="E101" s="1425" t="s">
        <v>1524</v>
      </c>
      <c r="F101" s="1425" t="s">
        <v>1525</v>
      </c>
      <c r="G101" s="1425" t="s">
        <v>1526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1627</v>
      </c>
      <c r="D103" s="1402" t="s">
        <v>1628</v>
      </c>
      <c r="E103" s="1402" t="s">
        <v>1629</v>
      </c>
      <c r="F103" s="1402" t="s">
        <v>1630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1562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1593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1493</v>
      </c>
      <c r="B115" s="1397" t="s">
        <v>1594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1595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1596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1597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1598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1588</v>
      </c>
      <c r="B1" s="1124"/>
      <c r="C1" s="1125" t="s">
        <v>1566</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979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1631</v>
      </c>
      <c r="D6" s="1148"/>
      <c r="E6" s="1149" t="s">
        <v>1631</v>
      </c>
      <c r="F6" s="1150"/>
      <c r="G6" s="1147" t="s">
        <v>1631</v>
      </c>
      <c r="H6" s="1148"/>
      <c r="I6" s="1147" t="s">
        <v>1631</v>
      </c>
      <c r="J6" s="1148"/>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SUMIF(65:65,YEAR(E7)&amp;"-"&amp;INT((MONTH(E7)+2)/3),66:66)</f>
        <v>100</v>
      </c>
      <c r="G7" s="1157"/>
      <c r="H7" s="1154">
        <f>SUMIF(65:65,YEAR(G7)&amp;"-"&amp;INT((MONTH(G7)+2)/3),66:66)</f>
        <v>100</v>
      </c>
      <c r="I7" s="1157"/>
      <c r="J7" s="1154">
        <f>SUMIF(65:65,YEAR(I7)&amp;"-"&amp;INT((MONTH(I7)+2)/3),66:66)</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0" si="3">D8/F8</f>
        <v>#DIV/0!</v>
      </c>
      <c r="AB8" s="1375" t="e">
        <f t="shared" ref="AB8:AB40" si="4">D8/H8</f>
        <v>#DIV/0!</v>
      </c>
      <c r="AC8" s="1375" t="e">
        <f t="shared" ref="AC8:AC40" si="5">D8/J8</f>
        <v>#DIV/0!</v>
      </c>
    </row>
    <row r="9" s="1114" customFormat="1" spans="1:29">
      <c r="A9" s="1159" t="s">
        <v>1478</v>
      </c>
      <c r="B9" s="1160" t="s">
        <v>1479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182" t="s">
        <v>1567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1487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1591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1475</v>
      </c>
      <c r="S19" s="1362">
        <f>F19</f>
        <v>100</v>
      </c>
      <c r="T19" s="1361" t="s">
        <v>1475</v>
      </c>
      <c r="U19" s="1362">
        <f>H19</f>
        <v>100</v>
      </c>
      <c r="V19" s="1361" t="s">
        <v>1475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1632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1475</v>
      </c>
      <c r="S21" s="1362">
        <f>F21</f>
        <v>100</v>
      </c>
      <c r="T21" s="1361" t="s">
        <v>1475</v>
      </c>
      <c r="U21" s="1362">
        <f>H21</f>
        <v>100</v>
      </c>
      <c r="V21" s="1361" t="s">
        <v>1475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1488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1475</v>
      </c>
      <c r="S23" s="1357">
        <f>F23</f>
        <v>100</v>
      </c>
      <c r="T23" s="1356" t="s">
        <v>1475</v>
      </c>
      <c r="U23" s="1357">
        <f>H23</f>
        <v>100</v>
      </c>
      <c r="V23" s="1356" t="s">
        <v>1475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1489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1475</v>
      </c>
      <c r="S25" s="1357">
        <f>F25</f>
        <v>100</v>
      </c>
      <c r="T25" s="1356" t="s">
        <v>1475</v>
      </c>
      <c r="U25" s="1357">
        <f>H25</f>
        <v>100</v>
      </c>
      <c r="V25" s="1356" t="s">
        <v>1475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1549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1475</v>
      </c>
      <c r="S27" s="1362">
        <f t="shared" ref="S27:S40" si="10">F27</f>
        <v>100</v>
      </c>
      <c r="T27" s="1361" t="s">
        <v>1475</v>
      </c>
      <c r="U27" s="1362">
        <f t="shared" ref="U27:U40" si="11">H27</f>
        <v>100</v>
      </c>
      <c r="V27" s="1361" t="s">
        <v>1475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1562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1475</v>
      </c>
      <c r="S28" s="1362">
        <f t="shared" si="10"/>
        <v>100</v>
      </c>
      <c r="T28" s="1361" t="s">
        <v>1475</v>
      </c>
      <c r="U28" s="1362">
        <f t="shared" si="11"/>
        <v>100</v>
      </c>
      <c r="V28" s="1361" t="s">
        <v>1475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1593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1475</v>
      </c>
      <c r="S30" s="1362">
        <f t="shared" si="10"/>
        <v>100</v>
      </c>
      <c r="T30" s="1361" t="s">
        <v>1475</v>
      </c>
      <c r="U30" s="1362">
        <f t="shared" si="11"/>
        <v>100</v>
      </c>
      <c r="V30" s="1361" t="s">
        <v>1475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1475</v>
      </c>
      <c r="S31" s="1362">
        <f t="shared" si="10"/>
        <v>100</v>
      </c>
      <c r="T31" s="1361" t="s">
        <v>1475</v>
      </c>
      <c r="U31" s="1362">
        <f t="shared" si="11"/>
        <v>100</v>
      </c>
      <c r="V31" s="1361" t="s">
        <v>1475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1495</v>
      </c>
      <c r="Q32" s="699">
        <f t="shared" si="8"/>
        <v>111</v>
      </c>
      <c r="R32" s="1361" t="s">
        <v>1475</v>
      </c>
      <c r="S32" s="1362">
        <f t="shared" si="10"/>
        <v>100</v>
      </c>
      <c r="T32" s="1361" t="s">
        <v>1475</v>
      </c>
      <c r="U32" s="1362">
        <f t="shared" si="11"/>
        <v>100</v>
      </c>
      <c r="V32" s="1361" t="s">
        <v>1475</v>
      </c>
      <c r="W32" s="1362">
        <f t="shared" si="12"/>
        <v>100</v>
      </c>
      <c r="X32" s="1348"/>
      <c r="Y32" s="1323" t="s">
        <v>1495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1475</v>
      </c>
      <c r="S33" s="1364">
        <f t="shared" si="10"/>
        <v>100</v>
      </c>
      <c r="T33" s="1363" t="s">
        <v>1475</v>
      </c>
      <c r="U33" s="1364">
        <f t="shared" si="11"/>
        <v>100</v>
      </c>
      <c r="V33" s="1363" t="s">
        <v>1475</v>
      </c>
      <c r="W33" s="1364">
        <f t="shared" si="12"/>
        <v>100</v>
      </c>
      <c r="X33" s="1365"/>
      <c r="Y33" s="1323"/>
      <c r="Z33" s="1378">
        <f t="shared" si="13"/>
        <v>111</v>
      </c>
      <c r="AA33" s="1377">
        <f t="shared" si="3"/>
        <v>1</v>
      </c>
      <c r="AB33" s="1377">
        <f t="shared" si="4"/>
        <v>1</v>
      </c>
      <c r="AC33" s="1377">
        <f t="shared" si="5"/>
        <v>1</v>
      </c>
    </row>
    <row r="34" ht="15.5" spans="1:29">
      <c r="A34" s="1181" t="s">
        <v>1493</v>
      </c>
      <c r="B34" s="1215" t="s">
        <v>1594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1475</v>
      </c>
      <c r="S34" s="1362" t="e">
        <f t="shared" si="10"/>
        <v>#N/A</v>
      </c>
      <c r="T34" s="1361" t="s">
        <v>1475</v>
      </c>
      <c r="U34" s="1362" t="e">
        <f t="shared" si="11"/>
        <v>#N/A</v>
      </c>
      <c r="V34" s="1361" t="s">
        <v>1475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1595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1475</v>
      </c>
      <c r="S35" s="1362">
        <f t="shared" si="10"/>
        <v>100</v>
      </c>
      <c r="T35" s="1361" t="s">
        <v>1475</v>
      </c>
      <c r="U35" s="1362">
        <f t="shared" si="11"/>
        <v>100</v>
      </c>
      <c r="V35" s="1361" t="s">
        <v>1475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1597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1475</v>
      </c>
      <c r="S36" s="1357">
        <f t="shared" si="10"/>
        <v>100</v>
      </c>
      <c r="T36" s="1356" t="s">
        <v>1475</v>
      </c>
      <c r="U36" s="1357">
        <f t="shared" si="11"/>
        <v>100</v>
      </c>
      <c r="V36" s="1356" t="s">
        <v>1475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1598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1495</v>
      </c>
      <c r="Q37" s="699" t="str">
        <f t="shared" si="14"/>
        <v>工程地质条件</v>
      </c>
      <c r="R37" s="1361" t="s">
        <v>1475</v>
      </c>
      <c r="S37" s="1362">
        <f t="shared" si="10"/>
        <v>100</v>
      </c>
      <c r="T37" s="1361" t="s">
        <v>1475</v>
      </c>
      <c r="U37" s="1362">
        <f t="shared" si="11"/>
        <v>100</v>
      </c>
      <c r="V37" s="1361" t="s">
        <v>1475</v>
      </c>
      <c r="W37" s="1362">
        <f t="shared" si="12"/>
        <v>100</v>
      </c>
      <c r="X37" s="1348"/>
      <c r="Y37" s="1323" t="s">
        <v>1495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1475</v>
      </c>
      <c r="S38" s="1362">
        <f t="shared" si="10"/>
        <v>100</v>
      </c>
      <c r="T38" s="1361" t="s">
        <v>1475</v>
      </c>
      <c r="U38" s="1362">
        <f t="shared" si="11"/>
        <v>100</v>
      </c>
      <c r="V38" s="1361" t="s">
        <v>1475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1475</v>
      </c>
      <c r="S39" s="1362">
        <f t="shared" si="10"/>
        <v>100</v>
      </c>
      <c r="T39" s="1361" t="s">
        <v>1475</v>
      </c>
      <c r="U39" s="1362">
        <f t="shared" si="11"/>
        <v>100</v>
      </c>
      <c r="V39" s="1361" t="s">
        <v>1475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1475</v>
      </c>
      <c r="S40" s="1364">
        <f t="shared" si="10"/>
        <v>100</v>
      </c>
      <c r="T40" s="1363" t="s">
        <v>1475</v>
      </c>
      <c r="U40" s="1364">
        <f t="shared" si="11"/>
        <v>100</v>
      </c>
      <c r="V40" s="1363" t="s">
        <v>1475</v>
      </c>
      <c r="W40" s="1364">
        <f t="shared" si="12"/>
        <v>100</v>
      </c>
      <c r="X40" s="1365"/>
      <c r="Y40" s="1323"/>
      <c r="Z40" s="1378">
        <f t="shared" si="13"/>
        <v>111</v>
      </c>
      <c r="AA40" s="1377">
        <f t="shared" si="3"/>
        <v>1</v>
      </c>
      <c r="AB40" s="1377">
        <f t="shared" si="4"/>
        <v>1</v>
      </c>
      <c r="AC40" s="1377">
        <f t="shared" si="5"/>
        <v>1</v>
      </c>
    </row>
    <row r="41" spans="1:29">
      <c r="A41" s="1225" t="s">
        <v>1580</v>
      </c>
      <c r="B41" s="1226" t="s">
        <v>1633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1507</v>
      </c>
      <c r="B42" s="1234"/>
      <c r="C42" s="1235" t="e">
        <f>R43</f>
        <v>#DIV/0!</v>
      </c>
      <c r="D42" s="1236" t="s">
        <v>1508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1509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1601</v>
      </c>
      <c r="B50" s="1252" t="s">
        <v>1602</v>
      </c>
      <c r="C50" s="1253" t="s">
        <v>1603</v>
      </c>
      <c r="D50" s="1254" t="s">
        <v>1604</v>
      </c>
      <c r="E50" s="1255" t="s">
        <v>1605</v>
      </c>
      <c r="F50" s="1256" t="s">
        <v>1606</v>
      </c>
      <c r="G50" s="1135" t="s">
        <v>1607</v>
      </c>
      <c r="H50" s="694"/>
      <c r="I50" s="1335" t="s">
        <v>1634</v>
      </c>
      <c r="J50" s="1335">
        <f>项目基本情况!F35</f>
        <v>0</v>
      </c>
      <c r="K50" s="1336" t="s">
        <v>1609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1610</v>
      </c>
      <c r="B51" s="1258" t="e">
        <f>C43</f>
        <v>#DIV/0!</v>
      </c>
      <c r="C51" s="1259">
        <v>1</v>
      </c>
      <c r="D51" s="1260">
        <v>1</v>
      </c>
      <c r="E51" s="1259">
        <f>'数据-汇总表'!E8+'数据-汇总表'!E9</f>
        <v>0</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1611</v>
      </c>
      <c r="B52" s="410" t="e">
        <f>ROUND($C$43*C52*D52,0)</f>
        <v>#DIV/0!</v>
      </c>
      <c r="C52" s="613">
        <f t="shared" ref="C52:C60" si="16">IF($C$50="北京市系数",I52,J52)</f>
        <v>0</v>
      </c>
      <c r="D52" s="1264">
        <v>0.25</v>
      </c>
      <c r="E52" s="1265"/>
      <c r="F52" s="1261" t="e">
        <f t="shared" si="15"/>
        <v>#DIV/0!</v>
      </c>
      <c r="G52" s="1266" t="s">
        <v>1612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1613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1614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1615</v>
      </c>
      <c r="B56" s="410" t="e">
        <f t="shared" si="17"/>
        <v>#DIV/0!</v>
      </c>
      <c r="C56" s="613">
        <f t="shared" si="16"/>
        <v>0</v>
      </c>
      <c r="D56" s="1264">
        <v>0.25</v>
      </c>
      <c r="E56" s="409">
        <f>'数据-汇总表'!E11</f>
        <v>0</v>
      </c>
      <c r="F56" s="1261" t="e">
        <f t="shared" si="15"/>
        <v>#DIV/0!</v>
      </c>
      <c r="G56" s="1270" t="s">
        <v>1616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1617</v>
      </c>
      <c r="B57" s="410" t="e">
        <f t="shared" si="17"/>
        <v>#DIV/0!</v>
      </c>
      <c r="C57" s="613">
        <f t="shared" si="16"/>
        <v>0</v>
      </c>
      <c r="D57" s="1264">
        <v>0.25</v>
      </c>
      <c r="E57" s="409">
        <f>'数据-汇总表'!E12</f>
        <v>0</v>
      </c>
      <c r="F57" s="1261" t="e">
        <f t="shared" si="15"/>
        <v>#DIV/0!</v>
      </c>
      <c r="G57" s="1271" t="s">
        <v>1618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1619</v>
      </c>
      <c r="B58" s="410" t="e">
        <f t="shared" si="17"/>
        <v>#DIV/0!</v>
      </c>
      <c r="C58" s="613">
        <f t="shared" si="16"/>
        <v>0</v>
      </c>
      <c r="D58" s="1264">
        <v>0.25</v>
      </c>
      <c r="E58" s="409">
        <f>'数据-汇总表'!E13</f>
        <v>0</v>
      </c>
      <c r="F58" s="1261" t="e">
        <f t="shared" si="15"/>
        <v>#DIV/0!</v>
      </c>
      <c r="G58" s="1271" t="s">
        <v>1620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1621</v>
      </c>
      <c r="B59" s="410" t="e">
        <f t="shared" si="17"/>
        <v>#DIV/0!</v>
      </c>
      <c r="C59" s="613">
        <f t="shared" si="16"/>
        <v>0</v>
      </c>
      <c r="D59" s="1264">
        <v>0.25</v>
      </c>
      <c r="E59" s="409">
        <f>'数据-汇总表'!E14</f>
        <v>0</v>
      </c>
      <c r="F59" s="1261" t="e">
        <f t="shared" si="15"/>
        <v>#DIV/0!</v>
      </c>
      <c r="G59" s="1270" t="s">
        <v>1612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1622</v>
      </c>
      <c r="B60" s="410" t="e">
        <f t="shared" si="17"/>
        <v>#DIV/0!</v>
      </c>
      <c r="C60" s="613">
        <f t="shared" si="16"/>
        <v>0</v>
      </c>
      <c r="D60" s="1264">
        <v>0.25</v>
      </c>
      <c r="E60" s="409">
        <f>'数据-汇总表'!E15</f>
        <v>0</v>
      </c>
      <c r="F60" s="1261" t="e">
        <f t="shared" si="15"/>
        <v>#DIV/0!</v>
      </c>
      <c r="G60" s="1272" t="s">
        <v>1616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1623</v>
      </c>
      <c r="B61" s="1275" t="s">
        <v>1624</v>
      </c>
      <c r="C61" s="1275" t="s">
        <v>1624</v>
      </c>
      <c r="D61" s="1275" t="s">
        <v>1624</v>
      </c>
      <c r="E61" s="1275" t="e">
        <f>IF(B41="楼面地价",SUM(E51:E60),'数据-汇总表'!D3)</f>
        <v>#DIV/0!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1900-1-1</v>
      </c>
      <c r="D63" s="1281" t="e">
        <f>EDATE(C63,-3)</f>
        <v>#NUM!</v>
      </c>
      <c r="E63" s="1281" t="e">
        <f>EDATE(D63,-3)</f>
        <v>#NUM!</v>
      </c>
      <c r="F63" s="1281" t="e">
        <f t="shared" ref="F63:O63" si="18">EDATE(E63,-3)</f>
        <v>#NUM!</v>
      </c>
      <c r="G63" s="1281" t="e">
        <f t="shared" si="18"/>
        <v>#NUM!</v>
      </c>
      <c r="H63" s="1281" t="e">
        <f t="shared" si="18"/>
        <v>#NUM!</v>
      </c>
      <c r="I63" s="1281" t="e">
        <f t="shared" si="18"/>
        <v>#NUM!</v>
      </c>
      <c r="J63" s="1281" t="e">
        <f t="shared" si="18"/>
        <v>#NUM!</v>
      </c>
      <c r="K63" s="1281" t="e">
        <f t="shared" si="18"/>
        <v>#NUM!</v>
      </c>
      <c r="L63" s="1281" t="e">
        <f t="shared" si="18"/>
        <v>#NUM!</v>
      </c>
      <c r="M63" s="1281" t="e">
        <f t="shared" si="18"/>
        <v>#NUM!</v>
      </c>
      <c r="N63" s="1281" t="e">
        <f t="shared" si="18"/>
        <v>#NUM!</v>
      </c>
      <c r="O63" s="1281" t="e">
        <f t="shared" si="18"/>
        <v>#NUM!</v>
      </c>
      <c r="P63" s="1242"/>
      <c r="Q63" s="1242"/>
      <c r="R63" s="1242"/>
      <c r="S63" s="1242"/>
      <c r="T63" s="1242"/>
      <c r="U63" s="1242"/>
      <c r="V63" s="1242"/>
      <c r="W63" s="1242"/>
      <c r="X63" s="1242"/>
      <c r="Y63" s="1242"/>
      <c r="Z63" s="1242"/>
      <c r="AA63" s="1242"/>
      <c r="AB63" s="1242"/>
      <c r="AC63" s="1242"/>
      <c r="AD63" s="1242"/>
      <c r="AE63" s="1242"/>
    </row>
    <row r="64" ht="21.75" spans="1:31">
      <c r="A64" s="1282" t="s">
        <v>1513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1625</v>
      </c>
      <c r="B65" s="1381"/>
      <c r="C65" s="1382" t="str">
        <f>YEAR(C63)&amp;"-"&amp;ROUNDUP(MONTH(C63)/3,0)</f>
        <v>1900-1</v>
      </c>
      <c r="D65" s="1382" t="e">
        <f t="shared" ref="D65:O65" si="19">YEAR(D63)&amp;"-"&amp;ROUNDUP(MONTH(D63)/3,0)</f>
        <v>#NUM!</v>
      </c>
      <c r="E65" s="1382" t="e">
        <f t="shared" si="19"/>
        <v>#NUM!</v>
      </c>
      <c r="F65" s="1382" t="e">
        <f t="shared" si="19"/>
        <v>#NUM!</v>
      </c>
      <c r="G65" s="1382" t="e">
        <f t="shared" si="19"/>
        <v>#NUM!</v>
      </c>
      <c r="H65" s="1382" t="e">
        <f t="shared" si="19"/>
        <v>#NUM!</v>
      </c>
      <c r="I65" s="1382" t="e">
        <f t="shared" si="19"/>
        <v>#NUM!</v>
      </c>
      <c r="J65" s="1382" t="e">
        <f t="shared" si="19"/>
        <v>#NUM!</v>
      </c>
      <c r="K65" s="1382" t="e">
        <f t="shared" si="19"/>
        <v>#NUM!</v>
      </c>
      <c r="L65" s="1382" t="e">
        <f t="shared" si="19"/>
        <v>#NUM!</v>
      </c>
      <c r="M65" s="1382" t="e">
        <f t="shared" si="19"/>
        <v>#NUM!</v>
      </c>
      <c r="N65" s="1382" t="e">
        <f t="shared" si="19"/>
        <v>#NUM!</v>
      </c>
      <c r="O65" s="1382" t="e">
        <f t="shared" si="19"/>
        <v>#NUM!</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1635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1514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1476</v>
      </c>
      <c r="B68" s="1391"/>
      <c r="C68" s="1392" t="s">
        <v>1515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1516</v>
      </c>
      <c r="B70" s="1397" t="s">
        <v>1479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1484</v>
      </c>
      <c r="B83" s="1397" t="s">
        <v>1567</v>
      </c>
      <c r="C83" s="1418" t="s">
        <v>1517</v>
      </c>
      <c r="D83" s="1418" t="s">
        <v>1518</v>
      </c>
      <c r="E83" s="1418" t="s">
        <v>1519</v>
      </c>
      <c r="F83" s="1418" t="s">
        <v>1520</v>
      </c>
      <c r="G83" s="1418" t="s">
        <v>1521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1487</v>
      </c>
      <c r="C85" s="1420" t="s">
        <v>1517</v>
      </c>
      <c r="D85" s="1420" t="s">
        <v>1518</v>
      </c>
      <c r="E85" s="1420" t="s">
        <v>1519</v>
      </c>
      <c r="F85" s="1420" t="s">
        <v>1520</v>
      </c>
      <c r="G85" s="1420" t="s">
        <v>1521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1591</v>
      </c>
      <c r="C87" s="1418" t="s">
        <v>1517</v>
      </c>
      <c r="D87" s="1418" t="s">
        <v>1518</v>
      </c>
      <c r="E87" s="1418" t="s">
        <v>1519</v>
      </c>
      <c r="F87" s="1418" t="s">
        <v>1520</v>
      </c>
      <c r="G87" s="1418" t="s">
        <v>1521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1592</v>
      </c>
      <c r="C89" s="1418" t="s">
        <v>1517</v>
      </c>
      <c r="D89" s="1418" t="s">
        <v>1518</v>
      </c>
      <c r="E89" s="1418" t="s">
        <v>1519</v>
      </c>
      <c r="F89" s="1418" t="s">
        <v>1520</v>
      </c>
      <c r="G89" s="1418" t="s">
        <v>1521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1488</v>
      </c>
      <c r="C91" s="1418" t="s">
        <v>1517</v>
      </c>
      <c r="D91" s="1418" t="s">
        <v>1518</v>
      </c>
      <c r="E91" s="1418" t="s">
        <v>1519</v>
      </c>
      <c r="F91" s="1418" t="s">
        <v>1520</v>
      </c>
      <c r="G91" s="1418" t="s">
        <v>1521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1489</v>
      </c>
      <c r="C93" s="1425" t="s">
        <v>1522</v>
      </c>
      <c r="D93" s="1425" t="s">
        <v>1523</v>
      </c>
      <c r="E93" s="1425" t="s">
        <v>1524</v>
      </c>
      <c r="F93" s="1425" t="s">
        <v>1525</v>
      </c>
      <c r="G93" s="1425" t="s">
        <v>1526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1627</v>
      </c>
      <c r="D95" s="1402" t="s">
        <v>1628</v>
      </c>
      <c r="E95" s="1402" t="s">
        <v>1629</v>
      </c>
      <c r="F95" s="1402" t="s">
        <v>1630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1562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1593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1493</v>
      </c>
      <c r="B107" s="1397" t="s">
        <v>1594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1595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1597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1598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1636</v>
      </c>
      <c r="C1" s="995" t="s">
        <v>1637</v>
      </c>
      <c r="D1" s="996"/>
      <c r="E1" s="996"/>
      <c r="F1" s="996"/>
      <c r="G1" s="996"/>
      <c r="H1" s="996"/>
      <c r="I1" s="996"/>
      <c r="J1" s="996"/>
      <c r="K1" s="996"/>
      <c r="L1" s="996"/>
      <c r="M1" s="996"/>
      <c r="N1" s="996"/>
      <c r="O1" s="996"/>
      <c r="P1" s="996"/>
      <c r="Q1" s="996"/>
      <c r="R1" s="996"/>
      <c r="S1" s="1078"/>
      <c r="T1" s="994" t="s">
        <v>1638</v>
      </c>
    </row>
    <row r="2" s="984" customFormat="1" ht="13" spans="1:45">
      <c r="A2" s="997"/>
      <c r="B2" s="998" t="s">
        <v>454</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1639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1640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1641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1642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1643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1644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1645</v>
      </c>
      <c r="B17" s="1029" t="s">
        <v>1646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1647</v>
      </c>
      <c r="E19" s="1039"/>
      <c r="F19" s="1039"/>
      <c r="G19" s="1039"/>
      <c r="H19" s="1040"/>
      <c r="I19" s="1037"/>
      <c r="J19" s="1037"/>
      <c r="K19" s="1037"/>
      <c r="L19" s="1037"/>
      <c r="M19" s="1037"/>
      <c r="N19" s="1037"/>
      <c r="O19" s="1037"/>
      <c r="P19" s="1037"/>
      <c r="Q19" s="1037"/>
      <c r="R19" s="1105"/>
      <c r="S19" s="1036"/>
    </row>
    <row r="20" ht="16.25" spans="1:19">
      <c r="A20" s="1041" t="s">
        <v>1648</v>
      </c>
      <c r="B20" s="1042">
        <f ca="1">IF(D20="——",S22,S22-F20)</f>
        <v>109</v>
      </c>
      <c r="C20" s="1037"/>
      <c r="D20" s="1043" t="s">
        <v>124</v>
      </c>
      <c r="E20" s="1044"/>
      <c r="F20" s="994" t="e">
        <f ca="1">SUMIF(INDIRECT("'"&amp;H20&amp;"'"&amp;"!A:A"),"承租人权益价值",INDIRECT("'"&amp;H20&amp;"'"&amp;"!c:c"))</f>
        <v>#REF!</v>
      </c>
      <c r="G20" s="994" t="s">
        <v>794</v>
      </c>
      <c r="H20" s="1045"/>
      <c r="I20" s="1037"/>
      <c r="J20" s="1037"/>
      <c r="K20" s="1037"/>
      <c r="L20" s="1037"/>
      <c r="M20" s="1037"/>
      <c r="N20" s="1037"/>
      <c r="O20" s="1037"/>
      <c r="P20" s="1037"/>
      <c r="Q20" s="1037"/>
      <c r="R20" s="1105"/>
      <c r="S20" s="1036"/>
    </row>
    <row r="21" ht="15.5" spans="1:19">
      <c r="A21" s="1041" t="s">
        <v>1649</v>
      </c>
      <c r="B21" s="1042">
        <f ca="1">ROUND(B20*10000/B22,0)</f>
        <v>16997</v>
      </c>
      <c r="C21" s="1037"/>
      <c r="D21" s="1037"/>
      <c r="E21" s="1037"/>
      <c r="F21" s="1037"/>
      <c r="G21" s="1037"/>
      <c r="H21" s="1037"/>
      <c r="I21" s="1037"/>
      <c r="J21" s="1037"/>
      <c r="K21" s="1037"/>
      <c r="L21" s="1037"/>
      <c r="M21" s="1037"/>
      <c r="N21" s="1037"/>
      <c r="O21" s="1037"/>
      <c r="P21" s="1037"/>
      <c r="Q21" s="1037"/>
      <c r="R21" s="1105"/>
      <c r="S21" s="1036"/>
    </row>
    <row r="22" ht="13" spans="1:19">
      <c r="A22" s="1046" t="s">
        <v>1650</v>
      </c>
      <c r="B22" s="1047">
        <f>SUM(B24:B10000)</f>
        <v>64.13</v>
      </c>
      <c r="C22" s="1048" t="s">
        <v>124</v>
      </c>
      <c r="D22" s="1049"/>
      <c r="E22" s="1049"/>
      <c r="F22" s="1049"/>
      <c r="G22" s="1049"/>
      <c r="H22" s="1049"/>
      <c r="I22" s="1049"/>
      <c r="J22" s="1049"/>
      <c r="K22" s="1049"/>
      <c r="L22" s="1049"/>
      <c r="M22" s="1049"/>
      <c r="N22" s="1049"/>
      <c r="O22" s="1049"/>
      <c r="P22" s="1049"/>
      <c r="Q22" s="1106"/>
      <c r="R22" s="1107">
        <f>R24</f>
        <v>17000</v>
      </c>
      <c r="S22" s="1047">
        <f>SUM(S24:S10000)</f>
        <v>109</v>
      </c>
    </row>
    <row r="23" s="987" customFormat="1" ht="26" spans="1:45">
      <c r="A23" s="1050" t="s">
        <v>1651</v>
      </c>
      <c r="B23" s="1050" t="s">
        <v>454</v>
      </c>
      <c r="C23" s="1050" t="s">
        <v>1638</v>
      </c>
      <c r="D23" s="1050" t="str">
        <f>B5</f>
        <v>修正项2</v>
      </c>
      <c r="E23" s="1050" t="s">
        <v>1638</v>
      </c>
      <c r="F23" s="1050" t="str">
        <f>B7</f>
        <v>修正项3</v>
      </c>
      <c r="G23" s="1050" t="s">
        <v>1638</v>
      </c>
      <c r="H23" s="1050" t="str">
        <f>B9</f>
        <v>修正项4</v>
      </c>
      <c r="I23" s="1050" t="s">
        <v>1638</v>
      </c>
      <c r="J23" s="1050" t="str">
        <f>B11</f>
        <v>修正项5</v>
      </c>
      <c r="K23" s="1050" t="s">
        <v>1638</v>
      </c>
      <c r="L23" s="1050" t="str">
        <f>B13</f>
        <v>修正项6</v>
      </c>
      <c r="M23" s="1050" t="s">
        <v>1638</v>
      </c>
      <c r="N23" s="1050" t="str">
        <f>B15</f>
        <v>修正项7</v>
      </c>
      <c r="O23" s="1050" t="s">
        <v>1638</v>
      </c>
      <c r="P23" s="1050" t="str">
        <f>B17</f>
        <v>楼层</v>
      </c>
      <c r="Q23" s="1050" t="s">
        <v>1638</v>
      </c>
      <c r="R23" s="1108" t="s">
        <v>1652</v>
      </c>
      <c r="S23" s="1050" t="s">
        <v>1653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1654</v>
      </c>
      <c r="B24" s="1051">
        <v>64.13</v>
      </c>
      <c r="C24" s="1052">
        <v>1</v>
      </c>
      <c r="D24" s="1053"/>
      <c r="E24" s="1052">
        <v>1</v>
      </c>
      <c r="F24" s="1053"/>
      <c r="G24" s="1052">
        <v>1</v>
      </c>
      <c r="H24" s="1053"/>
      <c r="I24" s="1052">
        <v>1</v>
      </c>
      <c r="J24" s="1053"/>
      <c r="K24" s="1052">
        <v>1</v>
      </c>
      <c r="L24" s="1053"/>
      <c r="M24" s="1052">
        <v>1</v>
      </c>
      <c r="N24" s="1053"/>
      <c r="O24" s="1052">
        <v>1</v>
      </c>
      <c r="P24" s="1053"/>
      <c r="Q24" s="1052">
        <v>1</v>
      </c>
      <c r="R24" s="1110">
        <v>17000</v>
      </c>
      <c r="S24" s="1111">
        <f t="shared" ref="S24:S54" si="11">ROUND(R24*B24/10000,0)</f>
        <v>109</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K3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1655</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1656</v>
      </c>
      <c r="D2" s="975" t="s">
        <v>1657</v>
      </c>
      <c r="E2" s="977">
        <f ca="1">SUMIF(E6:E13,"&lt;&gt;#ref!",E6:E13)</f>
        <v>0</v>
      </c>
      <c r="F2" s="974"/>
      <c r="G2" s="974"/>
      <c r="H2" s="974"/>
      <c r="I2" s="974"/>
      <c r="J2" s="974"/>
      <c r="K2" s="974"/>
      <c r="L2" s="974"/>
      <c r="M2" s="974"/>
      <c r="N2" s="974"/>
      <c r="O2" s="974"/>
      <c r="P2" s="974"/>
    </row>
    <row r="3" ht="15.5" spans="1:16">
      <c r="A3" s="975" t="s">
        <v>1658</v>
      </c>
      <c r="B3" s="976" t="e">
        <f ca="1">ROUND(B2*10000/E2,0)</f>
        <v>#DIV/0!</v>
      </c>
      <c r="C3" s="975" t="s">
        <v>1659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1660</v>
      </c>
      <c r="B5" s="980" t="s">
        <v>1661</v>
      </c>
      <c r="C5" s="981"/>
      <c r="D5" s="974"/>
      <c r="E5" s="982" t="s">
        <v>1662</v>
      </c>
      <c r="F5" s="974"/>
      <c r="G5" s="974"/>
      <c r="H5" s="974"/>
      <c r="I5" s="974"/>
      <c r="J5" s="974"/>
      <c r="K5" s="974"/>
      <c r="L5" s="974"/>
      <c r="M5" s="974"/>
      <c r="N5" s="974"/>
      <c r="O5" s="974"/>
      <c r="P5" s="974"/>
    </row>
    <row r="6" ht="15" spans="1:16">
      <c r="A6" s="983" t="s">
        <v>1663</v>
      </c>
      <c r="B6" s="976" t="e">
        <f ca="1">SUMIF(INDIRECT("'"&amp;A6&amp;"'"&amp;"!A:A"),"总价",INDIRECT("'"&amp;A6&amp;"'"&amp;"!B:B"))</f>
        <v>#DIV/0!</v>
      </c>
      <c r="C6" s="975" t="s">
        <v>1656</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1656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1656</v>
      </c>
      <c r="D8" s="974"/>
      <c r="E8" s="977" t="e">
        <f ca="1" t="shared" si="0"/>
        <v>#REF!</v>
      </c>
      <c r="F8" s="974"/>
      <c r="G8" s="974"/>
      <c r="H8" s="974"/>
      <c r="I8" s="974"/>
      <c r="J8" s="974"/>
      <c r="K8" s="974"/>
      <c r="L8" s="974"/>
      <c r="M8" s="974"/>
      <c r="N8" s="974"/>
      <c r="O8" s="974"/>
      <c r="P8" s="974"/>
    </row>
    <row r="9" ht="15.5" spans="1:16">
      <c r="A9" s="983"/>
      <c r="B9" s="976" t="e">
        <f ca="1" t="shared" si="1"/>
        <v>#REF!</v>
      </c>
      <c r="C9" s="975" t="s">
        <v>1656</v>
      </c>
      <c r="D9" s="974"/>
      <c r="E9" s="977" t="e">
        <f ca="1" t="shared" si="0"/>
        <v>#REF!</v>
      </c>
      <c r="F9" s="974"/>
      <c r="G9" s="974"/>
      <c r="H9" s="974"/>
      <c r="I9" s="974"/>
      <c r="J9" s="974"/>
      <c r="K9" s="974"/>
      <c r="L9" s="974"/>
      <c r="M9" s="974"/>
      <c r="N9" s="974"/>
      <c r="O9" s="974"/>
      <c r="P9" s="974"/>
    </row>
    <row r="10" ht="15.5" spans="1:16">
      <c r="A10" s="983"/>
      <c r="B10" s="976" t="e">
        <f ca="1" t="shared" si="1"/>
        <v>#REF!</v>
      </c>
      <c r="C10" s="975" t="s">
        <v>1656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1656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1656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1656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A3:K3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1664</v>
      </c>
      <c r="B1" s="390"/>
      <c r="C1" s="393" t="s">
        <v>1459</v>
      </c>
      <c r="D1" s="574">
        <f>SUM(D33:D34,D37:D42)</f>
        <v>0</v>
      </c>
      <c r="E1" s="575"/>
      <c r="F1" s="575"/>
      <c r="G1" s="575"/>
      <c r="H1" s="575"/>
      <c r="I1" s="575"/>
      <c r="J1" s="575"/>
      <c r="K1" s="567"/>
      <c r="L1" s="787" t="s">
        <v>1665</v>
      </c>
      <c r="M1" s="788">
        <f>SUMPRODUCT((区片价!B5:B9=I2)*(区片价!C3:G3=E2)*(区片价!C5:G9))</f>
        <v>0</v>
      </c>
      <c r="N1" s="789">
        <f>SUMPRODUCT((因素修正幅度!B5:B9=I2)*(因素修正幅度!C3:G3=E2)*(因素修正幅度!C5:G9))</f>
        <v>0</v>
      </c>
      <c r="O1" s="568"/>
      <c r="P1" s="568"/>
      <c r="Q1" s="567"/>
      <c r="R1" s="882" t="s">
        <v>1666</v>
      </c>
      <c r="S1" s="882" t="s">
        <v>1667</v>
      </c>
      <c r="T1" s="882" t="s">
        <v>1668</v>
      </c>
      <c r="U1" s="882" t="s">
        <v>1669</v>
      </c>
      <c r="V1" s="882" t="s">
        <v>1670</v>
      </c>
      <c r="W1" s="883"/>
      <c r="X1" s="883"/>
      <c r="Y1" s="883"/>
      <c r="Z1" s="883"/>
      <c r="AA1" s="883"/>
      <c r="AB1" s="883"/>
      <c r="AC1" s="896"/>
      <c r="AD1" s="897"/>
      <c r="AE1" s="897"/>
      <c r="AF1" s="897"/>
      <c r="AG1" s="897"/>
      <c r="AH1" s="897"/>
      <c r="AI1" s="897"/>
      <c r="AJ1" s="906"/>
    </row>
    <row r="2" ht="15.5" spans="1:36">
      <c r="A2" s="393" t="s">
        <v>979</v>
      </c>
      <c r="B2" s="397" t="e">
        <f>C30</f>
        <v>#DIV/0!</v>
      </c>
      <c r="C2" s="576" t="s">
        <v>980</v>
      </c>
      <c r="D2" s="577" t="s">
        <v>1671</v>
      </c>
      <c r="E2" s="578"/>
      <c r="F2" s="577" t="s">
        <v>1672</v>
      </c>
      <c r="G2" s="579">
        <f>IF(E2="商业",项目基本情况!B37,IF(E2="办公",项目基本情况!C37,IF(E2="住宅",项目基本情况!D37,IF(E2="工业",项目基本情况!E37,项目基本情况!F37))))</f>
        <v>0</v>
      </c>
      <c r="H2" s="577" t="s">
        <v>1673</v>
      </c>
      <c r="I2" s="579">
        <f>IF(E2="商业",项目基本情况!B38,IF(E2="办公",项目基本情况!C38,IF(E2="住宅",项目基本情况!D38,IF(E2="工业",项目基本情况!E38,项目基本情况!F38))))</f>
        <v>0</v>
      </c>
      <c r="J2" s="790"/>
      <c r="K2" s="567"/>
      <c r="L2" s="791" t="s">
        <v>1674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981</v>
      </c>
      <c r="B3" s="397" t="e">
        <f>ROUND(B2*10000/D1,0)</f>
        <v>#DIV/0!</v>
      </c>
      <c r="C3" s="576" t="s">
        <v>982</v>
      </c>
      <c r="D3" s="577" t="s">
        <v>1675</v>
      </c>
      <c r="E3" s="580"/>
      <c r="F3" s="581"/>
      <c r="G3" s="582">
        <f>IF(F3="宗地容积率",'数据-汇总表'!I4,IF(F3="估价对象容积率",'数据-汇总表'!I6,'数据-汇总表'!I7))</f>
        <v>0</v>
      </c>
      <c r="H3" s="583" t="s">
        <v>1676</v>
      </c>
      <c r="I3" s="793"/>
      <c r="J3" s="790" t="s">
        <v>1677</v>
      </c>
      <c r="K3" s="567"/>
      <c r="L3" s="791" t="s">
        <v>1678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1679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885</v>
      </c>
      <c r="B5" s="588" t="s">
        <v>1680</v>
      </c>
      <c r="C5" s="589" t="e">
        <f>ROUND(IF(E2="商业",C6*C7*C17+C20,(IF(E2="住宅",C6*C13*C17+C20,IF(E2="办公",C6*C12*C17+C20,C6+C20)))),0)</f>
        <v>#DIV/0!</v>
      </c>
      <c r="D5" s="590" t="e">
        <f>ROUND(C6*C17+C20,0)</f>
        <v>#DIV/0!</v>
      </c>
      <c r="E5" s="590"/>
      <c r="F5" s="591"/>
      <c r="G5" s="592"/>
      <c r="H5" s="592"/>
      <c r="I5" s="592"/>
      <c r="J5" s="795"/>
      <c r="K5" s="796"/>
      <c r="L5" s="791" t="s">
        <v>1681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984</v>
      </c>
      <c r="B6" s="594" t="s">
        <v>1682</v>
      </c>
      <c r="C6" s="595">
        <f>SUMIF(L1:L12,G2,M1:M12)</f>
        <v>0</v>
      </c>
      <c r="D6" s="596"/>
      <c r="E6" s="597"/>
      <c r="F6" s="597"/>
      <c r="G6" s="598"/>
      <c r="H6" s="598"/>
      <c r="I6" s="598"/>
      <c r="J6" s="797"/>
      <c r="K6" s="798"/>
      <c r="L6" s="791" t="s">
        <v>1683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1684</v>
      </c>
      <c r="B7" s="600" t="s">
        <v>1685</v>
      </c>
      <c r="C7" s="601" t="e">
        <f>IF(C8="不临65条商业街",1,ROUND(1+(1.6*E8+1.2*E9+0.8*E10+0.4*E11)*C9,4))</f>
        <v>#DIV/0!</v>
      </c>
      <c r="D7" s="602" t="s">
        <v>1686</v>
      </c>
      <c r="E7" s="603"/>
      <c r="F7" s="604"/>
      <c r="G7" s="605"/>
      <c r="H7" s="605"/>
      <c r="I7" s="605"/>
      <c r="J7" s="799"/>
      <c r="K7" s="798"/>
      <c r="L7" s="791" t="s">
        <v>1687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1688</v>
      </c>
      <c r="X7" s="888">
        <f>G2</f>
        <v>0</v>
      </c>
      <c r="Y7" s="888" t="s">
        <v>1689</v>
      </c>
      <c r="Z7" s="900">
        <f>G3</f>
        <v>0</v>
      </c>
      <c r="AA7" s="883"/>
      <c r="AB7" s="883"/>
      <c r="AC7" s="896"/>
      <c r="AD7" s="897"/>
      <c r="AE7" s="897"/>
      <c r="AF7" s="897"/>
      <c r="AG7" s="897"/>
      <c r="AH7" s="897"/>
      <c r="AI7" s="897"/>
      <c r="AJ7" s="906"/>
    </row>
    <row r="8" ht="15.5" spans="1:36">
      <c r="A8" s="606"/>
      <c r="B8" s="583" t="s">
        <v>1690</v>
      </c>
      <c r="C8" s="607"/>
      <c r="D8" s="608" t="s">
        <v>1691</v>
      </c>
      <c r="E8" s="609" t="e">
        <f>ROUND(C11/E7,4)</f>
        <v>#DIV/0!</v>
      </c>
      <c r="F8" s="610" t="s">
        <v>1692</v>
      </c>
      <c r="G8" s="611"/>
      <c r="H8" s="611"/>
      <c r="I8" s="611"/>
      <c r="J8" s="800"/>
      <c r="K8" s="567"/>
      <c r="L8" s="791" t="s">
        <v>1693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1694</v>
      </c>
      <c r="X8" s="890"/>
      <c r="Y8" s="901" t="s">
        <v>1695</v>
      </c>
      <c r="Z8" s="901" t="s">
        <v>1696</v>
      </c>
      <c r="AA8" s="901" t="s">
        <v>1697</v>
      </c>
      <c r="AB8" s="901" t="s">
        <v>1698</v>
      </c>
      <c r="AC8" s="901" t="s">
        <v>1699</v>
      </c>
      <c r="AD8" s="901" t="s">
        <v>1700</v>
      </c>
      <c r="AE8" s="901" t="s">
        <v>1701</v>
      </c>
      <c r="AF8" s="901" t="s">
        <v>1702</v>
      </c>
      <c r="AG8" s="901" t="s">
        <v>1703</v>
      </c>
      <c r="AH8" s="901" t="s">
        <v>1704</v>
      </c>
      <c r="AI8" s="901" t="s">
        <v>1705</v>
      </c>
      <c r="AJ8" s="901" t="s">
        <v>1706</v>
      </c>
    </row>
    <row r="9" ht="15.5" spans="1:36">
      <c r="A9" s="606"/>
      <c r="B9" s="583" t="s">
        <v>1707</v>
      </c>
      <c r="C9" s="612">
        <f>SUMIF(修正!C71:C138,C8,修正!E71:E138)</f>
        <v>0</v>
      </c>
      <c r="D9" s="613" t="s">
        <v>1708</v>
      </c>
      <c r="E9" s="613" t="e">
        <f>ROUND(C11/E7,4)</f>
        <v>#DIV/0!</v>
      </c>
      <c r="F9" s="610" t="s">
        <v>1709</v>
      </c>
      <c r="G9" s="611"/>
      <c r="H9" s="611"/>
      <c r="I9" s="611"/>
      <c r="J9" s="800"/>
      <c r="K9" s="567"/>
      <c r="L9" s="791" t="s">
        <v>1710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1712</v>
      </c>
      <c r="C10" s="613">
        <f>SUMIF(修正!C71:C138,C8,修正!F71:F138)</f>
        <v>0</v>
      </c>
      <c r="D10" s="613" t="s">
        <v>1713</v>
      </c>
      <c r="E10" s="613" t="e">
        <f>ROUND(C11/E7,4)</f>
        <v>#DIV/0!</v>
      </c>
      <c r="F10" s="610" t="s">
        <v>1714</v>
      </c>
      <c r="G10" s="611"/>
      <c r="H10" s="611"/>
      <c r="I10" s="611"/>
      <c r="J10" s="800"/>
      <c r="K10" s="567"/>
      <c r="L10" s="791" t="s">
        <v>1715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1716</v>
      </c>
      <c r="C11" s="616">
        <f>C10/4</f>
        <v>0</v>
      </c>
      <c r="D11" s="616" t="s">
        <v>1717</v>
      </c>
      <c r="E11" s="616" t="e">
        <f>ROUND(C11/E7,4)</f>
        <v>#DIV/0!</v>
      </c>
      <c r="F11" s="617" t="s">
        <v>1718</v>
      </c>
      <c r="G11" s="618"/>
      <c r="H11" s="618"/>
      <c r="I11" s="618"/>
      <c r="J11" s="801"/>
      <c r="K11" s="567"/>
      <c r="L11" s="791" t="s">
        <v>1719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1720</v>
      </c>
      <c r="B12" s="619" t="s">
        <v>1721</v>
      </c>
      <c r="C12" s="620"/>
      <c r="D12" s="621" t="s">
        <v>1722</v>
      </c>
      <c r="E12" s="622" t="s">
        <v>1723</v>
      </c>
      <c r="F12" s="623"/>
      <c r="G12" s="624"/>
      <c r="H12" s="624"/>
      <c r="I12" s="624"/>
      <c r="J12" s="802"/>
      <c r="K12" s="567"/>
      <c r="L12" s="803" t="s">
        <v>1724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1725</v>
      </c>
      <c r="B13" s="625" t="s">
        <v>1726</v>
      </c>
      <c r="C13" s="601">
        <f>ROUND(C16*D16*E16*F16*G16*H16*I16*J16,4)</f>
        <v>0</v>
      </c>
      <c r="D13" s="626" t="s">
        <v>1727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1728</v>
      </c>
      <c r="C14" s="631" t="s">
        <v>1729</v>
      </c>
      <c r="D14" s="632" t="s">
        <v>1730</v>
      </c>
      <c r="E14" s="633" t="s">
        <v>1731</v>
      </c>
      <c r="F14" s="634" t="s">
        <v>1732</v>
      </c>
      <c r="G14" s="634" t="s">
        <v>1732</v>
      </c>
      <c r="H14" s="634" t="s">
        <v>1732</v>
      </c>
      <c r="I14" s="634" t="s">
        <v>1732</v>
      </c>
      <c r="J14" s="634" t="s">
        <v>1732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1733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1638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1734</v>
      </c>
      <c r="B17" s="645" t="s">
        <v>1735</v>
      </c>
      <c r="C17" s="646">
        <f>ROUND(IF(OR(E2="工业",E2="公共服务"),1,IF(AND(E18=0,E19=0),1,IF(AND(E18=J24,E19=G19),0.8,IF(E19=0,1+E17*(-0.2),1+E17*G17*(-0.2))))),4)</f>
        <v>1</v>
      </c>
      <c r="D17" s="647" t="s">
        <v>1736</v>
      </c>
      <c r="E17" s="646" t="e">
        <f>ROUND(G18/I18,2)</f>
        <v>#DIV/0!</v>
      </c>
      <c r="F17" s="647" t="s">
        <v>1737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1738</v>
      </c>
      <c r="E18" s="652"/>
      <c r="F18" s="653" t="s">
        <v>1739</v>
      </c>
      <c r="G18" s="650">
        <f>ROUND(1-(1/(POWER(1+G24,E18))),4)</f>
        <v>0</v>
      </c>
      <c r="H18" s="653" t="s">
        <v>1740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1741</v>
      </c>
      <c r="E19" s="657"/>
      <c r="F19" s="658" t="s">
        <v>1742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1743</v>
      </c>
      <c r="B20" s="660" t="s">
        <v>1744</v>
      </c>
      <c r="C20" s="661" t="e">
        <f>ROUND(IF(F21="与级别开发程度一致",0,(G21-E21)/C21),0)</f>
        <v>#DIV/0!</v>
      </c>
      <c r="D20" s="662" t="s">
        <v>1745</v>
      </c>
      <c r="E20" s="663"/>
      <c r="F20" s="664" t="s">
        <v>1746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1747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896</v>
      </c>
      <c r="B22" s="675" t="s">
        <v>1748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901</v>
      </c>
      <c r="B23" s="680" t="s">
        <v>1749</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1750</v>
      </c>
      <c r="E23" s="683">
        <v>44197</v>
      </c>
      <c r="F23" s="682" t="s">
        <v>1751</v>
      </c>
      <c r="G23" s="684">
        <f>'数据-取费表'!B2</f>
        <v>0</v>
      </c>
      <c r="H23" s="685" t="s">
        <v>1752</v>
      </c>
      <c r="I23" s="824" t="str">
        <f>IF(H23="季度增幅（自定义）",SUMIF(N25:N28,E2,O25:O28),"")</f>
        <v/>
      </c>
      <c r="J23" s="825" t="s">
        <v>1753</v>
      </c>
      <c r="K23" s="821"/>
      <c r="L23" s="826" t="s">
        <v>1754</v>
      </c>
      <c r="M23" s="827">
        <f>ROUND(SUMIF(地价!B2:G2,E2,地价!B16:G16),0)</f>
        <v>0</v>
      </c>
      <c r="N23" s="828" t="s">
        <v>1755</v>
      </c>
      <c r="O23" s="829">
        <f>ROUNDDOWN(DATEDIF(E23,G23,"M")/3,0)</f>
        <v>-484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904</v>
      </c>
      <c r="B24" s="687" t="s">
        <v>1756</v>
      </c>
      <c r="C24" s="688" t="e">
        <f>ROUND(POWER(1+G24,J24-I24)*(POWER(1+G24,I24)-1)/(POWER(1+G24,J24)-1),4)</f>
        <v>#DIV/0!</v>
      </c>
      <c r="D24" s="689" t="s">
        <v>1757</v>
      </c>
      <c r="E24" s="690">
        <f>存贷款利率!E24/100</f>
        <v>0.0435</v>
      </c>
      <c r="F24" s="689" t="s">
        <v>1758</v>
      </c>
      <c r="G24" s="691">
        <f>SUMIF(M30:Q30,E2,M33:Q33)</f>
        <v>0</v>
      </c>
      <c r="H24" s="689" t="s">
        <v>1759</v>
      </c>
      <c r="I24" s="831" t="e">
        <f>SUMIF('数据-取费表'!C6:C15,E2,'数据-取费表'!F6:F15)/COUNTIF('数据-取费表'!C6:C15,E2)</f>
        <v>#DIV/0!</v>
      </c>
      <c r="J24" s="832">
        <f>IF(E2="住宅",70,IF(E2="商业",40,50))</f>
        <v>50</v>
      </c>
      <c r="K24" s="821"/>
      <c r="L24" s="833" t="s">
        <v>1760</v>
      </c>
      <c r="M24" s="834">
        <f>ROUND(SUMPRODUCT((地价!A4:A16=YEAR(G23)&amp;"-"&amp;ROUNDUP(MONTH(G23)/3,0))*(地价!B2:G2=E2)*(地价!B4:G16)),0)</f>
        <v>0</v>
      </c>
      <c r="N24" s="835" t="s">
        <v>1761</v>
      </c>
      <c r="O24" s="836" t="s">
        <v>1762</v>
      </c>
      <c r="P24" s="837" t="s">
        <v>1763</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926</v>
      </c>
      <c r="B25" s="693" t="s">
        <v>1764</v>
      </c>
      <c r="C25" s="694">
        <f>IF(B25="容积率修正",IF(G3&lt;10,D26,J26),C27)</f>
        <v>0</v>
      </c>
      <c r="D25" s="695"/>
      <c r="E25" s="695"/>
      <c r="F25" s="695"/>
      <c r="G25" s="695"/>
      <c r="H25" s="695"/>
      <c r="I25" s="695"/>
      <c r="J25" s="838"/>
      <c r="K25" s="821"/>
      <c r="L25" s="822"/>
      <c r="M25" s="822"/>
      <c r="N25" s="839" t="s">
        <v>1765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1766</v>
      </c>
      <c r="B26" s="697" t="s">
        <v>1767</v>
      </c>
      <c r="C26" s="698" t="s">
        <v>1768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1769</v>
      </c>
      <c r="J26" s="842" t="str">
        <f>IF(G3&gt;=10,D115,"——")</f>
        <v>——</v>
      </c>
      <c r="K26" s="821"/>
      <c r="L26" s="822"/>
      <c r="M26" s="822"/>
      <c r="N26" s="839" t="s">
        <v>1770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1771</v>
      </c>
      <c r="B27" s="700" t="s">
        <v>1772</v>
      </c>
      <c r="C27" s="701">
        <f>ROUND(IF(I3&lt;6,SUMPRODUCT((B106:B110=I3)*(C105:N105=G2)*(C106:N110)),SUMIF(C105:N105,G2,C112:N112)),4)</f>
        <v>0</v>
      </c>
      <c r="D27" s="702"/>
      <c r="E27" s="702"/>
      <c r="F27" s="703"/>
      <c r="G27" s="704"/>
      <c r="H27" s="705"/>
      <c r="I27" s="843"/>
      <c r="J27" s="844"/>
      <c r="K27" s="567"/>
      <c r="L27" s="568"/>
      <c r="M27" s="568"/>
      <c r="N27" s="839" t="s">
        <v>1773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1774</v>
      </c>
      <c r="B28" s="680" t="s">
        <v>1775</v>
      </c>
      <c r="C28" s="681">
        <f>SUMIF(A47:A101,E2,B47:B101)</f>
        <v>0</v>
      </c>
      <c r="D28" s="706"/>
      <c r="E28" s="707"/>
      <c r="F28" s="707"/>
      <c r="G28" s="707"/>
      <c r="H28" s="707"/>
      <c r="I28" s="707"/>
      <c r="J28" s="845"/>
      <c r="K28" s="821"/>
      <c r="L28" s="822"/>
      <c r="M28" s="822"/>
      <c r="N28" s="846" t="s">
        <v>1776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1777</v>
      </c>
      <c r="B29" s="708" t="s">
        <v>1778</v>
      </c>
      <c r="C29" s="709"/>
      <c r="D29" s="605"/>
      <c r="E29" s="605"/>
      <c r="F29" s="710"/>
      <c r="G29" s="605"/>
      <c r="H29" s="605"/>
      <c r="I29" s="605"/>
      <c r="J29" s="799"/>
      <c r="K29" s="567"/>
      <c r="L29" s="568"/>
      <c r="M29" s="568"/>
      <c r="N29" s="849" t="s">
        <v>1779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1780</v>
      </c>
      <c r="C30" s="712" t="e">
        <f>IF(B25="容积率修正",E33+SUM(E37:E42),SUM(V2:V16)+SUM(E37:E42))</f>
        <v>#DIV/0!</v>
      </c>
      <c r="D30" s="713"/>
      <c r="E30" s="702"/>
      <c r="F30" s="714"/>
      <c r="G30" s="702"/>
      <c r="H30" s="702"/>
      <c r="I30" s="702"/>
      <c r="J30" s="852"/>
      <c r="K30" s="567"/>
      <c r="L30" s="853" t="s">
        <v>1671</v>
      </c>
      <c r="M30" s="854" t="s">
        <v>1781</v>
      </c>
      <c r="N30" s="854" t="s">
        <v>1782</v>
      </c>
      <c r="O30" s="854" t="s">
        <v>1783</v>
      </c>
      <c r="P30" s="854" t="s">
        <v>1784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1785</v>
      </c>
      <c r="C31" s="716" t="e">
        <f>E34+SUM(I37:I42)</f>
        <v>#DIV/0!</v>
      </c>
      <c r="D31" s="717"/>
      <c r="E31" s="718"/>
      <c r="F31" s="719"/>
      <c r="G31" s="718"/>
      <c r="H31" s="718"/>
      <c r="I31" s="718"/>
      <c r="J31" s="855"/>
      <c r="K31" s="567"/>
      <c r="L31" s="856" t="s">
        <v>1786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1787</v>
      </c>
      <c r="C32" s="722" t="s">
        <v>1788</v>
      </c>
      <c r="D32" s="722" t="s">
        <v>554</v>
      </c>
      <c r="E32" s="723" t="s">
        <v>1789</v>
      </c>
      <c r="F32" s="724"/>
      <c r="G32" s="628"/>
      <c r="H32" s="628"/>
      <c r="I32" s="628"/>
      <c r="J32" s="805"/>
      <c r="K32" s="567"/>
      <c r="L32" s="857" t="s">
        <v>1758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1790</v>
      </c>
      <c r="C33" s="727" t="e">
        <f>ROUND(C5*C22*C23*C24*C25*C28,0)</f>
        <v>#DIV/0!</v>
      </c>
      <c r="D33" s="728"/>
      <c r="E33" s="729" t="e">
        <f>ROUND(C33*D33/10000,0)</f>
        <v>#DIV/0!</v>
      </c>
      <c r="F33" s="730" t="s">
        <v>1791</v>
      </c>
      <c r="G33" s="731"/>
      <c r="H33" s="731"/>
      <c r="I33" s="731"/>
      <c r="J33" s="859"/>
      <c r="K33" s="567"/>
      <c r="L33" s="860" t="s">
        <v>1792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1793</v>
      </c>
      <c r="C34" s="670" t="e">
        <f>ROUND(IF(E2="工业",C33*M42,IF(B25="楼层修正",SUM(V2:V16)*M41*10000/D34,C33*M41)),0)</f>
        <v>#DIV/0!</v>
      </c>
      <c r="D34" s="734"/>
      <c r="E34" s="729" t="e">
        <f>ROUND(IF(B25="楼层修正",SUM(V2:V16)*M40,C34*D34/10000),0)</f>
        <v>#DIV/0!</v>
      </c>
      <c r="F34" s="735" t="s">
        <v>1794</v>
      </c>
      <c r="G34" s="736"/>
      <c r="H34" s="736"/>
      <c r="I34" s="736"/>
      <c r="J34" s="862"/>
      <c r="K34" s="567"/>
      <c r="L34" s="860" t="s">
        <v>1795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1796</v>
      </c>
      <c r="C35" s="739" t="s">
        <v>1797</v>
      </c>
      <c r="D35" s="628"/>
      <c r="E35" s="740"/>
      <c r="F35" s="740"/>
      <c r="G35" s="626" t="s">
        <v>1794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1788</v>
      </c>
      <c r="D36" s="743" t="s">
        <v>554</v>
      </c>
      <c r="E36" s="743" t="s">
        <v>1789</v>
      </c>
      <c r="F36" s="574" t="s">
        <v>1798</v>
      </c>
      <c r="G36" s="744" t="s">
        <v>1788</v>
      </c>
      <c r="H36" s="744" t="s">
        <v>554</v>
      </c>
      <c r="I36" s="744" t="s">
        <v>1789</v>
      </c>
      <c r="J36" s="444"/>
      <c r="K36" s="864" t="s">
        <v>1799</v>
      </c>
      <c r="L36" s="865">
        <f ca="1">'数据-取费表'!B40</f>
        <v>0</v>
      </c>
      <c r="M36" s="866">
        <f ca="1">ROUND($L$36*(1+M31),3)</f>
        <v>0</v>
      </c>
      <c r="N36" s="866">
        <f ca="1">ROUND($L$36*(1+N31),3)</f>
        <v>0</v>
      </c>
      <c r="O36" s="866">
        <f ca="1">ROUND($L$36*(1+O31),3)</f>
        <v>0</v>
      </c>
      <c r="P36" s="866">
        <f ca="1">ROUND($L$36*(1+P31),3)</f>
        <v>0</v>
      </c>
      <c r="Q36" s="866">
        <f ca="1">ROUND($L$36*(1+Q31),3)</f>
        <v>0</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1800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1801</v>
      </c>
      <c r="L37" s="864">
        <f ca="1">L36+K38</f>
        <v>0.005</v>
      </c>
      <c r="M37" s="866">
        <f ca="1">ROUND($L$37*(1+M31),3)</f>
        <v>0.006</v>
      </c>
      <c r="N37" s="866">
        <f ca="1" t="shared" ref="N37:Q37" si="3">ROUND($L$37*(1+N31),3)</f>
        <v>0.006</v>
      </c>
      <c r="O37" s="866">
        <f ca="1" t="shared" si="3"/>
        <v>0.006</v>
      </c>
      <c r="P37" s="866">
        <f ca="1" t="shared" si="3"/>
        <v>0.006</v>
      </c>
      <c r="Q37" s="866">
        <f ca="1" t="shared" si="3"/>
        <v>0.006</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1802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1803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1804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1805</v>
      </c>
      <c r="M40" s="871"/>
      <c r="Z40" s="751"/>
      <c r="AA40" s="751"/>
      <c r="AB40" s="751"/>
      <c r="AC40" s="751"/>
      <c r="AD40" s="751"/>
      <c r="AE40" s="751"/>
      <c r="AF40" s="751"/>
      <c r="AG40" s="751"/>
      <c r="AH40" s="751"/>
      <c r="AI40" s="751"/>
      <c r="AJ40" s="751"/>
    </row>
    <row r="41" s="567" customFormat="1" ht="13" spans="1:36">
      <c r="A41" s="748"/>
      <c r="B41" s="631" t="s">
        <v>1806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1807</v>
      </c>
      <c r="M41" s="873">
        <v>0.25</v>
      </c>
      <c r="Z41" s="751"/>
      <c r="AA41" s="751"/>
      <c r="AB41" s="751"/>
      <c r="AC41" s="751"/>
      <c r="AD41" s="751"/>
      <c r="AE41" s="751"/>
      <c r="AF41" s="751"/>
      <c r="AG41" s="751"/>
      <c r="AH41" s="751"/>
      <c r="AI41" s="751"/>
      <c r="AJ41" s="751"/>
    </row>
    <row r="42" s="567" customFormat="1" ht="13.75" spans="1:36">
      <c r="A42" s="732"/>
      <c r="B42" s="749" t="s">
        <v>1808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1784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1809</v>
      </c>
      <c r="C44" s="574" t="e">
        <f>ROUND(POWER(1+E44,H44-G44)*(POWER(1+E44,G44)-1)/(POWER(1+E44,H44)-1),4)</f>
        <v>#DIV/0!</v>
      </c>
      <c r="D44" s="613" t="s">
        <v>1758</v>
      </c>
      <c r="E44" s="753">
        <f>G24</f>
        <v>0</v>
      </c>
      <c r="F44" s="613" t="s">
        <v>1759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1810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1811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1812</v>
      </c>
      <c r="B49" s="767" t="s">
        <v>1813</v>
      </c>
      <c r="C49" s="767" t="s">
        <v>1814</v>
      </c>
      <c r="D49" s="767" t="s">
        <v>1815</v>
      </c>
      <c r="E49" s="768" t="s">
        <v>1816</v>
      </c>
      <c r="F49" s="769" t="s">
        <v>1817</v>
      </c>
      <c r="G49" s="767" t="s">
        <v>1638</v>
      </c>
      <c r="H49" s="770" t="s">
        <v>1818</v>
      </c>
      <c r="I49" s="767" t="s">
        <v>1819</v>
      </c>
      <c r="J49" s="878" t="s">
        <v>1517</v>
      </c>
      <c r="K49" s="878" t="s">
        <v>1518</v>
      </c>
      <c r="L49" s="878" t="s">
        <v>1519</v>
      </c>
      <c r="M49" s="878" t="s">
        <v>1520</v>
      </c>
      <c r="N49" s="878" t="s">
        <v>1521</v>
      </c>
      <c r="AA49" s="751"/>
      <c r="AB49" s="751"/>
      <c r="AC49" s="751"/>
      <c r="AD49" s="751"/>
      <c r="AE49" s="751"/>
      <c r="AF49" s="751"/>
      <c r="AG49" s="751"/>
      <c r="AH49" s="751"/>
      <c r="AI49" s="751"/>
      <c r="AJ49" s="751"/>
      <c r="AK49" s="751"/>
    </row>
    <row r="50" s="567" customFormat="1" ht="39" spans="1:37">
      <c r="A50" s="766" t="s">
        <v>1820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1821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1822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1823</v>
      </c>
      <c r="B53" s="780" t="s">
        <v>1824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1825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1826</v>
      </c>
      <c r="B55" s="781" t="s">
        <v>1827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1828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1829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1830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1831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1812</v>
      </c>
      <c r="B60" s="767"/>
      <c r="C60" s="767" t="s">
        <v>1814</v>
      </c>
      <c r="D60" s="767" t="s">
        <v>1815</v>
      </c>
      <c r="E60" s="768" t="s">
        <v>1816</v>
      </c>
      <c r="F60" s="769" t="s">
        <v>1832</v>
      </c>
      <c r="G60" s="767" t="s">
        <v>1638</v>
      </c>
      <c r="H60" s="770" t="s">
        <v>1818</v>
      </c>
      <c r="I60" s="767" t="s">
        <v>1819</v>
      </c>
      <c r="J60" s="878" t="s">
        <v>1517</v>
      </c>
      <c r="K60" s="878" t="s">
        <v>1518</v>
      </c>
      <c r="L60" s="878" t="s">
        <v>1519</v>
      </c>
      <c r="M60" s="878" t="s">
        <v>1520</v>
      </c>
      <c r="N60" s="878" t="s">
        <v>1521</v>
      </c>
      <c r="AA60" s="751"/>
      <c r="AB60" s="751"/>
      <c r="AC60" s="751"/>
      <c r="AD60" s="751"/>
      <c r="AE60" s="751"/>
      <c r="AF60" s="751"/>
      <c r="AG60" s="751"/>
      <c r="AH60" s="751"/>
      <c r="AI60" s="751"/>
      <c r="AJ60" s="751"/>
      <c r="AK60" s="751"/>
    </row>
    <row r="61" s="567" customFormat="1" ht="39" spans="1:37">
      <c r="A61" s="766" t="s">
        <v>1833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1821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1822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1823</v>
      </c>
      <c r="B64" s="780" t="s">
        <v>1824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1825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1826</v>
      </c>
      <c r="B66" s="781" t="s">
        <v>1827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1828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1829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1830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1834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1812</v>
      </c>
      <c r="B71" s="767"/>
      <c r="C71" s="767" t="s">
        <v>1814</v>
      </c>
      <c r="D71" s="767" t="s">
        <v>1815</v>
      </c>
      <c r="E71" s="768" t="s">
        <v>1816</v>
      </c>
      <c r="F71" s="769" t="s">
        <v>1832</v>
      </c>
      <c r="G71" s="767" t="s">
        <v>1638</v>
      </c>
      <c r="H71" s="770" t="s">
        <v>1818</v>
      </c>
      <c r="I71" s="767" t="s">
        <v>1819</v>
      </c>
      <c r="J71" s="878" t="s">
        <v>1517</v>
      </c>
      <c r="K71" s="878" t="s">
        <v>1518</v>
      </c>
      <c r="L71" s="878" t="s">
        <v>1519</v>
      </c>
      <c r="M71" s="878" t="s">
        <v>1520</v>
      </c>
      <c r="N71" s="878" t="s">
        <v>1521</v>
      </c>
      <c r="AA71" s="751"/>
      <c r="AB71" s="751"/>
      <c r="AC71" s="751"/>
      <c r="AD71" s="751"/>
      <c r="AE71" s="751"/>
      <c r="AF71" s="751"/>
      <c r="AG71" s="751"/>
      <c r="AH71" s="751"/>
      <c r="AI71" s="751"/>
      <c r="AJ71" s="751"/>
      <c r="AK71" s="751"/>
    </row>
    <row r="72" s="567" customFormat="1" ht="52" spans="1:37">
      <c r="A72" s="766" t="s">
        <v>1835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1821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1822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1836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1828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1829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1826</v>
      </c>
      <c r="B78" s="781" t="s">
        <v>1827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1830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1837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1838</v>
      </c>
      <c r="B81" s="761">
        <f>1+E83</f>
        <v>1</v>
      </c>
      <c r="C81" s="763"/>
      <c r="D81" s="763"/>
      <c r="E81" s="764"/>
      <c r="F81" s="765"/>
      <c r="G81" s="759"/>
      <c r="H81" s="759"/>
      <c r="I81" s="759"/>
      <c r="J81" s="758"/>
      <c r="K81" s="758"/>
      <c r="L81" s="758"/>
      <c r="M81" s="758"/>
      <c r="N81" s="758"/>
      <c r="Z81" s="571"/>
      <c r="AA81" s="569"/>
      <c r="AG81" s="573"/>
      <c r="AK81" s="569"/>
    </row>
    <row r="82" ht="26" spans="1:37">
      <c r="A82" s="766" t="s">
        <v>1812</v>
      </c>
      <c r="B82" s="767"/>
      <c r="C82" s="767" t="s">
        <v>1814</v>
      </c>
      <c r="D82" s="767" t="s">
        <v>1815</v>
      </c>
      <c r="E82" s="768" t="s">
        <v>1816</v>
      </c>
      <c r="F82" s="769" t="s">
        <v>1832</v>
      </c>
      <c r="G82" s="767" t="s">
        <v>1638</v>
      </c>
      <c r="H82" s="770" t="s">
        <v>1818</v>
      </c>
      <c r="I82" s="767" t="s">
        <v>1819</v>
      </c>
      <c r="J82" s="878" t="s">
        <v>1517</v>
      </c>
      <c r="K82" s="878" t="s">
        <v>1518</v>
      </c>
      <c r="L82" s="878" t="s">
        <v>1519</v>
      </c>
      <c r="M82" s="878" t="s">
        <v>1520</v>
      </c>
      <c r="N82" s="878" t="s">
        <v>1521</v>
      </c>
      <c r="Z82" s="571"/>
      <c r="AA82" s="569"/>
      <c r="AG82" s="573"/>
      <c r="AK82" s="569"/>
    </row>
    <row r="83" ht="39" spans="1:37">
      <c r="A83" s="766" t="s">
        <v>1839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1821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1822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1836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1828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1829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1826</v>
      </c>
      <c r="B89" s="781" t="s">
        <v>1840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1841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1812</v>
      </c>
      <c r="B92" s="925"/>
      <c r="C92" s="925" t="s">
        <v>1814</v>
      </c>
      <c r="D92" s="925" t="s">
        <v>1815</v>
      </c>
      <c r="E92" s="894" t="s">
        <v>1816</v>
      </c>
      <c r="F92" s="926" t="s">
        <v>1832</v>
      </c>
      <c r="G92" s="925" t="s">
        <v>1638</v>
      </c>
      <c r="H92" s="927" t="s">
        <v>1818</v>
      </c>
      <c r="I92" s="925" t="s">
        <v>1819</v>
      </c>
      <c r="J92" s="963" t="s">
        <v>1517</v>
      </c>
      <c r="K92" s="963" t="s">
        <v>1518</v>
      </c>
      <c r="L92" s="963" t="s">
        <v>1519</v>
      </c>
      <c r="M92" s="963" t="s">
        <v>1520</v>
      </c>
      <c r="N92" s="963" t="s">
        <v>1521</v>
      </c>
    </row>
    <row r="93" ht="26" spans="1:14">
      <c r="A93" s="779" t="s">
        <v>1842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1821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1822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1823</v>
      </c>
      <c r="B96" s="933" t="s">
        <v>1824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1825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1826</v>
      </c>
      <c r="B98" s="934" t="s">
        <v>1827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1828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1829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1830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1843</v>
      </c>
      <c r="B103" s="938"/>
      <c r="C103" s="938"/>
      <c r="D103" s="938"/>
      <c r="E103" s="938"/>
      <c r="F103" s="938"/>
      <c r="G103" s="938"/>
      <c r="H103" s="938"/>
      <c r="I103" s="938"/>
      <c r="J103" s="938"/>
      <c r="K103" s="938"/>
      <c r="L103" s="938"/>
      <c r="M103" s="938"/>
      <c r="N103" s="938"/>
    </row>
    <row r="104" ht="13" spans="1:14">
      <c r="A104" s="939" t="s">
        <v>1844</v>
      </c>
      <c r="B104" s="939" t="s">
        <v>1845</v>
      </c>
      <c r="C104" s="940" t="s">
        <v>1846</v>
      </c>
      <c r="D104" s="941"/>
      <c r="E104" s="941"/>
      <c r="F104" s="941"/>
      <c r="G104" s="941"/>
      <c r="H104" s="941"/>
      <c r="I104" s="941"/>
      <c r="J104" s="964"/>
      <c r="K104" s="965"/>
      <c r="L104" s="965"/>
      <c r="M104" s="965"/>
      <c r="N104" s="965"/>
    </row>
    <row r="105" ht="13" spans="1:14">
      <c r="A105" s="939"/>
      <c r="B105" s="939"/>
      <c r="C105" s="939" t="s">
        <v>1695</v>
      </c>
      <c r="D105" s="939" t="s">
        <v>1696</v>
      </c>
      <c r="E105" s="939" t="s">
        <v>1697</v>
      </c>
      <c r="F105" s="939" t="s">
        <v>1698</v>
      </c>
      <c r="G105" s="939" t="s">
        <v>1699</v>
      </c>
      <c r="H105" s="939" t="s">
        <v>1700</v>
      </c>
      <c r="I105" s="939" t="s">
        <v>1701</v>
      </c>
      <c r="J105" s="939" t="s">
        <v>1702</v>
      </c>
      <c r="K105" s="939" t="s">
        <v>1703</v>
      </c>
      <c r="L105" s="939" t="s">
        <v>1704</v>
      </c>
      <c r="M105" s="939" t="s">
        <v>1705</v>
      </c>
      <c r="N105" s="939" t="s">
        <v>1706</v>
      </c>
    </row>
    <row r="106" spans="1:14">
      <c r="A106" s="942" t="s">
        <v>1847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1711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1848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1849</v>
      </c>
      <c r="B116" s="949">
        <f>G3</f>
        <v>0</v>
      </c>
      <c r="C116" s="950" t="s">
        <v>1850</v>
      </c>
      <c r="D116" s="951">
        <f>SUMPRODUCT((A118:A122=F116)*(B117:M117=H116)*B118:M122)</f>
        <v>0</v>
      </c>
      <c r="E116" s="577" t="s">
        <v>1671</v>
      </c>
      <c r="F116" s="952">
        <f>E2</f>
        <v>0</v>
      </c>
      <c r="G116" s="577" t="s">
        <v>1672</v>
      </c>
      <c r="H116" s="952">
        <f>G2</f>
        <v>0</v>
      </c>
      <c r="I116" s="577"/>
      <c r="J116" s="966"/>
      <c r="K116" s="966"/>
      <c r="L116" s="966"/>
      <c r="M116" s="966"/>
      <c r="N116" s="947"/>
    </row>
    <row r="117" ht="13" spans="1:14">
      <c r="A117" s="953"/>
      <c r="B117" s="954" t="s">
        <v>1851</v>
      </c>
      <c r="C117" s="954" t="s">
        <v>1852</v>
      </c>
      <c r="D117" s="954" t="s">
        <v>1853</v>
      </c>
      <c r="E117" s="955" t="s">
        <v>1854</v>
      </c>
      <c r="F117" s="955" t="s">
        <v>1855</v>
      </c>
      <c r="G117" s="955" t="s">
        <v>1856</v>
      </c>
      <c r="H117" s="956" t="s">
        <v>1857</v>
      </c>
      <c r="I117" s="956" t="s">
        <v>1858</v>
      </c>
      <c r="J117" s="967" t="s">
        <v>1859</v>
      </c>
      <c r="K117" s="967" t="s">
        <v>1860</v>
      </c>
      <c r="L117" s="967" t="s">
        <v>1861</v>
      </c>
      <c r="M117" s="968" t="s">
        <v>1862</v>
      </c>
      <c r="N117" s="947"/>
    </row>
    <row r="118" ht="13" spans="1:14">
      <c r="A118" s="957" t="s">
        <v>1781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1782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1783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1784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1863</v>
      </c>
      <c r="B2" s="501">
        <v>3.5</v>
      </c>
      <c r="C2" s="501">
        <v>3.5</v>
      </c>
      <c r="D2" s="502">
        <v>2.5</v>
      </c>
      <c r="E2" s="502">
        <v>2.5</v>
      </c>
      <c r="F2" s="502">
        <v>2.5</v>
      </c>
      <c r="G2" s="502">
        <v>2.5</v>
      </c>
      <c r="H2" s="502">
        <v>2.5</v>
      </c>
      <c r="I2" s="501">
        <v>2</v>
      </c>
      <c r="J2" s="501">
        <v>2</v>
      </c>
      <c r="K2" s="501">
        <v>2</v>
      </c>
      <c r="L2" s="501">
        <v>2</v>
      </c>
      <c r="M2" s="555">
        <v>2</v>
      </c>
    </row>
    <row r="3" customHeight="1" spans="1:13">
      <c r="A3" s="503" t="s">
        <v>1864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1865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1866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1867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1868</v>
      </c>
      <c r="B18" s="517"/>
      <c r="C18" s="518"/>
      <c r="D18" s="518"/>
      <c r="E18" s="517"/>
      <c r="F18" s="518"/>
      <c r="G18" s="518"/>
    </row>
    <row r="19" customHeight="1" spans="1:7">
      <c r="A19" s="516" t="s">
        <v>1869</v>
      </c>
      <c r="B19" s="519" t="s">
        <v>1870</v>
      </c>
      <c r="C19" s="519" t="s">
        <v>1871</v>
      </c>
      <c r="D19" s="520"/>
      <c r="E19" s="516" t="s">
        <v>1872</v>
      </c>
      <c r="F19" s="521"/>
      <c r="G19" s="521"/>
    </row>
    <row r="20" customHeight="1" spans="1:7">
      <c r="A20" s="522" t="s">
        <v>1863</v>
      </c>
      <c r="B20" s="523" t="s">
        <v>1873</v>
      </c>
      <c r="C20" s="524" t="s">
        <v>1874</v>
      </c>
      <c r="D20" s="525"/>
      <c r="E20" s="526">
        <v>1</v>
      </c>
      <c r="F20" s="527" t="s">
        <v>1875</v>
      </c>
      <c r="G20" s="527"/>
    </row>
    <row r="21" customHeight="1" spans="1:7">
      <c r="A21" s="528"/>
      <c r="B21" s="529"/>
      <c r="C21" s="530" t="s">
        <v>1876</v>
      </c>
      <c r="D21" s="531"/>
      <c r="E21" s="532">
        <v>1</v>
      </c>
      <c r="F21" s="527" t="s">
        <v>1877</v>
      </c>
      <c r="G21" s="527"/>
    </row>
    <row r="22" customHeight="1" spans="1:7">
      <c r="A22" s="528"/>
      <c r="B22" s="529"/>
      <c r="C22" s="530" t="s">
        <v>1878</v>
      </c>
      <c r="D22" s="531"/>
      <c r="E22" s="532">
        <v>0.9</v>
      </c>
      <c r="F22" s="527" t="s">
        <v>1879</v>
      </c>
      <c r="G22" s="527"/>
    </row>
    <row r="23" customHeight="1" spans="1:7">
      <c r="A23" s="528"/>
      <c r="B23" s="529"/>
      <c r="C23" s="530" t="s">
        <v>1880</v>
      </c>
      <c r="D23" s="531"/>
      <c r="E23" s="532">
        <v>0.9</v>
      </c>
      <c r="F23" s="527" t="s">
        <v>1881</v>
      </c>
      <c r="G23" s="527"/>
    </row>
    <row r="24" customHeight="1" spans="1:7">
      <c r="A24" s="528"/>
      <c r="B24" s="529"/>
      <c r="C24" s="530" t="s">
        <v>1882</v>
      </c>
      <c r="D24" s="531"/>
      <c r="E24" s="532">
        <v>0.8</v>
      </c>
      <c r="F24" s="527" t="s">
        <v>1883</v>
      </c>
      <c r="G24" s="527"/>
    </row>
    <row r="25" customHeight="1" spans="1:7">
      <c r="A25" s="533"/>
      <c r="B25" s="534"/>
      <c r="C25" s="535" t="s">
        <v>1884</v>
      </c>
      <c r="D25" s="536"/>
      <c r="E25" s="537">
        <v>0.8</v>
      </c>
      <c r="F25" s="527" t="s">
        <v>1885</v>
      </c>
      <c r="G25" s="527"/>
    </row>
    <row r="26" customHeight="1" spans="1:7">
      <c r="A26" s="538" t="s">
        <v>1864</v>
      </c>
      <c r="B26" s="539" t="s">
        <v>1873</v>
      </c>
      <c r="C26" s="540" t="s">
        <v>1886</v>
      </c>
      <c r="D26" s="541"/>
      <c r="E26" s="542">
        <v>1</v>
      </c>
      <c r="F26" s="527" t="s">
        <v>1887</v>
      </c>
      <c r="G26" s="527"/>
    </row>
    <row r="27" customHeight="1" spans="1:7">
      <c r="A27" s="543" t="s">
        <v>280</v>
      </c>
      <c r="B27" s="523" t="s">
        <v>280</v>
      </c>
      <c r="C27" s="524" t="s">
        <v>1888</v>
      </c>
      <c r="D27" s="525"/>
      <c r="E27" s="526">
        <v>1</v>
      </c>
      <c r="F27" s="527" t="s">
        <v>1889</v>
      </c>
      <c r="G27" s="527"/>
    </row>
    <row r="28" customHeight="1" spans="1:7">
      <c r="A28" s="544"/>
      <c r="B28" s="529"/>
      <c r="C28" s="530" t="s">
        <v>1890</v>
      </c>
      <c r="D28" s="531"/>
      <c r="E28" s="532">
        <v>1</v>
      </c>
      <c r="F28" s="527" t="s">
        <v>1891</v>
      </c>
      <c r="G28" s="527"/>
    </row>
    <row r="29" customHeight="1" spans="1:7">
      <c r="A29" s="544"/>
      <c r="B29" s="529"/>
      <c r="C29" s="530" t="s">
        <v>1892</v>
      </c>
      <c r="D29" s="531"/>
      <c r="E29" s="532">
        <v>0.8</v>
      </c>
      <c r="F29" s="527" t="s">
        <v>1893</v>
      </c>
      <c r="G29" s="527"/>
    </row>
    <row r="30" customHeight="1" spans="1:7">
      <c r="A30" s="544"/>
      <c r="B30" s="529"/>
      <c r="C30" s="530" t="s">
        <v>1894</v>
      </c>
      <c r="D30" s="531"/>
      <c r="E30" s="532">
        <v>0.8</v>
      </c>
      <c r="F30" s="527" t="s">
        <v>1895</v>
      </c>
      <c r="G30" s="527"/>
    </row>
    <row r="31" customHeight="1" spans="1:7">
      <c r="A31" s="544"/>
      <c r="B31" s="529"/>
      <c r="C31" s="530" t="s">
        <v>1896</v>
      </c>
      <c r="D31" s="531"/>
      <c r="E31" s="532">
        <v>0.8</v>
      </c>
      <c r="F31" s="527" t="s">
        <v>1897</v>
      </c>
      <c r="G31" s="527"/>
    </row>
    <row r="32" customHeight="1" spans="1:7">
      <c r="A32" s="544"/>
      <c r="B32" s="529"/>
      <c r="C32" s="530" t="s">
        <v>1898</v>
      </c>
      <c r="D32" s="531"/>
      <c r="E32" s="532">
        <v>0.7</v>
      </c>
      <c r="F32" s="527" t="s">
        <v>1899</v>
      </c>
      <c r="G32" s="527"/>
    </row>
    <row r="33" customHeight="1" spans="1:7">
      <c r="A33" s="544"/>
      <c r="B33" s="529"/>
      <c r="C33" s="530" t="s">
        <v>1900</v>
      </c>
      <c r="D33" s="531"/>
      <c r="E33" s="532">
        <v>0.8</v>
      </c>
      <c r="F33" s="527" t="s">
        <v>1901</v>
      </c>
      <c r="G33" s="527"/>
    </row>
    <row r="34" customHeight="1" spans="1:7">
      <c r="A34" s="544"/>
      <c r="B34" s="529"/>
      <c r="C34" s="530" t="s">
        <v>1902</v>
      </c>
      <c r="D34" s="531"/>
      <c r="E34" s="532">
        <v>0.6</v>
      </c>
      <c r="F34" s="527" t="s">
        <v>1903</v>
      </c>
      <c r="G34" s="527"/>
    </row>
    <row r="35" customHeight="1" spans="1:7">
      <c r="A35" s="544"/>
      <c r="B35" s="529"/>
      <c r="C35" s="530" t="s">
        <v>1904</v>
      </c>
      <c r="D35" s="531"/>
      <c r="E35" s="532">
        <v>0.2</v>
      </c>
      <c r="F35" s="527" t="s">
        <v>1905</v>
      </c>
      <c r="G35" s="527"/>
    </row>
    <row r="36" customHeight="1" spans="1:7">
      <c r="A36" s="544"/>
      <c r="B36" s="529"/>
      <c r="C36" s="530" t="s">
        <v>1906</v>
      </c>
      <c r="D36" s="531"/>
      <c r="E36" s="532">
        <v>0.2</v>
      </c>
      <c r="F36" s="527" t="s">
        <v>1907</v>
      </c>
      <c r="G36" s="527"/>
    </row>
    <row r="37" customHeight="1" spans="1:7">
      <c r="A37" s="544"/>
      <c r="B37" s="545" t="s">
        <v>1908</v>
      </c>
      <c r="C37" s="530" t="s">
        <v>1909</v>
      </c>
      <c r="D37" s="531"/>
      <c r="E37" s="532">
        <v>0.6</v>
      </c>
      <c r="F37" s="527" t="s">
        <v>1910</v>
      </c>
      <c r="G37" s="527"/>
    </row>
    <row r="38" customHeight="1" spans="1:7">
      <c r="A38" s="544"/>
      <c r="B38" s="529"/>
      <c r="C38" s="530" t="s">
        <v>1911</v>
      </c>
      <c r="D38" s="531"/>
      <c r="E38" s="532">
        <v>0.6</v>
      </c>
      <c r="F38" s="527" t="s">
        <v>1912</v>
      </c>
      <c r="G38" s="527"/>
    </row>
    <row r="39" customHeight="1" spans="1:7">
      <c r="A39" s="546"/>
      <c r="B39" s="534"/>
      <c r="C39" s="535" t="s">
        <v>1913</v>
      </c>
      <c r="D39" s="536"/>
      <c r="E39" s="537">
        <v>0.6</v>
      </c>
      <c r="F39" s="527" t="s">
        <v>1914</v>
      </c>
      <c r="G39" s="527"/>
    </row>
    <row r="40" customHeight="1" spans="1:7">
      <c r="A40" s="538" t="s">
        <v>412</v>
      </c>
      <c r="B40" s="539" t="s">
        <v>412</v>
      </c>
      <c r="C40" s="540" t="s">
        <v>1915</v>
      </c>
      <c r="D40" s="541"/>
      <c r="E40" s="542">
        <v>1</v>
      </c>
      <c r="F40" s="527" t="s">
        <v>1916</v>
      </c>
      <c r="G40" s="527"/>
    </row>
    <row r="41" customHeight="1" spans="1:7">
      <c r="A41" s="522" t="s">
        <v>408</v>
      </c>
      <c r="B41" s="523" t="s">
        <v>1917</v>
      </c>
      <c r="C41" s="524" t="s">
        <v>1918</v>
      </c>
      <c r="D41" s="525"/>
      <c r="E41" s="526">
        <v>1</v>
      </c>
      <c r="F41" s="527" t="s">
        <v>1919</v>
      </c>
      <c r="G41" s="527"/>
    </row>
    <row r="42" customHeight="1" spans="1:7">
      <c r="A42" s="528"/>
      <c r="B42" s="529"/>
      <c r="C42" s="530" t="s">
        <v>1920</v>
      </c>
      <c r="D42" s="531"/>
      <c r="E42" s="532">
        <v>1</v>
      </c>
      <c r="F42" s="527" t="s">
        <v>1921</v>
      </c>
      <c r="G42" s="527"/>
    </row>
    <row r="43" customHeight="1" spans="1:7">
      <c r="A43" s="528"/>
      <c r="B43" s="547"/>
      <c r="C43" s="530" t="s">
        <v>1922</v>
      </c>
      <c r="D43" s="531"/>
      <c r="E43" s="532">
        <v>1.5</v>
      </c>
      <c r="F43" s="527" t="s">
        <v>1923</v>
      </c>
      <c r="G43" s="527"/>
    </row>
    <row r="44" customHeight="1" spans="1:7">
      <c r="A44" s="528"/>
      <c r="B44" s="548" t="s">
        <v>280</v>
      </c>
      <c r="C44" s="530" t="s">
        <v>1865</v>
      </c>
      <c r="D44" s="531"/>
      <c r="E44" s="532">
        <v>2</v>
      </c>
      <c r="F44" s="527" t="s">
        <v>1924</v>
      </c>
      <c r="G44" s="527"/>
    </row>
    <row r="45" customHeight="1" spans="1:7">
      <c r="A45" s="528"/>
      <c r="B45" s="545" t="s">
        <v>1925</v>
      </c>
      <c r="C45" s="530" t="s">
        <v>1926</v>
      </c>
      <c r="D45" s="531"/>
      <c r="E45" s="532">
        <v>1</v>
      </c>
      <c r="F45" s="527" t="s">
        <v>1927</v>
      </c>
      <c r="G45" s="527"/>
    </row>
    <row r="46" customHeight="1" spans="1:7">
      <c r="A46" s="528"/>
      <c r="B46" s="529"/>
      <c r="C46" s="530" t="s">
        <v>1928</v>
      </c>
      <c r="D46" s="531"/>
      <c r="E46" s="532">
        <v>1</v>
      </c>
      <c r="F46" s="527" t="s">
        <v>1929</v>
      </c>
      <c r="G46" s="527"/>
    </row>
    <row r="47" customHeight="1" spans="1:7">
      <c r="A47" s="528"/>
      <c r="B47" s="529"/>
      <c r="C47" s="530" t="s">
        <v>1930</v>
      </c>
      <c r="D47" s="531"/>
      <c r="E47" s="532">
        <v>1</v>
      </c>
      <c r="F47" s="527" t="s">
        <v>1931</v>
      </c>
      <c r="G47" s="527"/>
    </row>
    <row r="48" customHeight="1" spans="1:7">
      <c r="A48" s="528"/>
      <c r="B48" s="529"/>
      <c r="C48" s="530" t="s">
        <v>1932</v>
      </c>
      <c r="D48" s="531"/>
      <c r="E48" s="532">
        <v>1</v>
      </c>
      <c r="F48" s="527" t="s">
        <v>1933</v>
      </c>
      <c r="G48" s="527"/>
    </row>
    <row r="49" customHeight="1" spans="1:7">
      <c r="A49" s="528"/>
      <c r="B49" s="529"/>
      <c r="C49" s="530" t="s">
        <v>1934</v>
      </c>
      <c r="D49" s="531"/>
      <c r="E49" s="532">
        <v>1</v>
      </c>
      <c r="F49" s="527" t="s">
        <v>1935</v>
      </c>
      <c r="G49" s="527"/>
    </row>
    <row r="50" customHeight="1" spans="1:7">
      <c r="A50" s="528"/>
      <c r="B50" s="529"/>
      <c r="C50" s="530" t="s">
        <v>1936</v>
      </c>
      <c r="D50" s="531"/>
      <c r="E50" s="532">
        <v>1</v>
      </c>
      <c r="F50" s="527" t="s">
        <v>1937</v>
      </c>
      <c r="G50" s="527"/>
    </row>
    <row r="51" customHeight="1" spans="1:7">
      <c r="A51" s="533"/>
      <c r="B51" s="534"/>
      <c r="C51" s="535" t="s">
        <v>1938</v>
      </c>
      <c r="D51" s="536"/>
      <c r="E51" s="537">
        <v>1</v>
      </c>
      <c r="F51" s="527" t="s">
        <v>1939</v>
      </c>
      <c r="G51" s="527"/>
    </row>
    <row r="52" customHeight="1" spans="1:7">
      <c r="A52" s="549"/>
      <c r="B52" s="549"/>
      <c r="C52" s="549"/>
      <c r="D52" s="549"/>
      <c r="E52" s="549"/>
      <c r="F52" s="549"/>
      <c r="G52" s="549"/>
    </row>
    <row r="54" customHeight="1" spans="1:7">
      <c r="A54" s="550"/>
      <c r="B54" s="514" t="s">
        <v>1940</v>
      </c>
      <c r="C54" s="514" t="s">
        <v>1940</v>
      </c>
      <c r="D54" s="514" t="s">
        <v>1940</v>
      </c>
      <c r="E54" s="516" t="s">
        <v>1940</v>
      </c>
      <c r="F54" s="516" t="s">
        <v>1941</v>
      </c>
      <c r="G54" s="516" t="s">
        <v>1940</v>
      </c>
    </row>
    <row r="55" customHeight="1" spans="1:7">
      <c r="A55" s="551"/>
      <c r="B55" s="516" t="s">
        <v>1863</v>
      </c>
      <c r="C55" s="516" t="s">
        <v>1863</v>
      </c>
      <c r="D55" s="516" t="s">
        <v>1863</v>
      </c>
      <c r="E55" s="514" t="s">
        <v>1864</v>
      </c>
      <c r="F55" s="514" t="s">
        <v>408</v>
      </c>
      <c r="G55" s="514" t="s">
        <v>1571</v>
      </c>
    </row>
    <row r="56" customHeight="1" spans="1:7">
      <c r="A56" s="552"/>
      <c r="B56" s="514">
        <v>1</v>
      </c>
      <c r="C56" s="514">
        <v>2</v>
      </c>
      <c r="D56" s="514">
        <v>3</v>
      </c>
      <c r="E56" s="553" t="s">
        <v>1942</v>
      </c>
      <c r="F56" s="553" t="s">
        <v>1942</v>
      </c>
      <c r="G56" s="553" t="s">
        <v>1942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1943</v>
      </c>
      <c r="E70" s="565"/>
      <c r="F70" s="565"/>
    </row>
    <row r="71" customHeight="1" spans="1:6">
      <c r="A71" s="548" t="s">
        <v>1944</v>
      </c>
      <c r="B71" s="548" t="s">
        <v>1945</v>
      </c>
      <c r="C71" s="548" t="s">
        <v>1946</v>
      </c>
      <c r="D71" s="548" t="s">
        <v>1947</v>
      </c>
      <c r="E71" s="548" t="s">
        <v>1948</v>
      </c>
      <c r="F71" s="548" t="s">
        <v>1949</v>
      </c>
    </row>
    <row r="72" ht="14" spans="1:6">
      <c r="A72" s="548"/>
      <c r="B72" s="548"/>
      <c r="C72" s="548" t="s">
        <v>1950</v>
      </c>
      <c r="D72" s="548"/>
      <c r="E72" s="548" t="s">
        <v>124</v>
      </c>
      <c r="F72" s="548" t="s">
        <v>124</v>
      </c>
    </row>
    <row r="73" ht="14" spans="1:6">
      <c r="A73" s="548">
        <v>1</v>
      </c>
      <c r="B73" s="545" t="s">
        <v>1951</v>
      </c>
      <c r="C73" s="514" t="s">
        <v>1952</v>
      </c>
      <c r="D73" s="514" t="s">
        <v>1953</v>
      </c>
      <c r="E73" s="548">
        <v>0.2</v>
      </c>
      <c r="F73" s="548">
        <v>25</v>
      </c>
    </row>
    <row r="74" ht="26" spans="1:6">
      <c r="A74" s="548">
        <v>2</v>
      </c>
      <c r="B74" s="529"/>
      <c r="C74" s="514" t="s">
        <v>1954</v>
      </c>
      <c r="D74" s="514" t="s">
        <v>1955</v>
      </c>
      <c r="E74" s="548">
        <v>0.2</v>
      </c>
      <c r="F74" s="548">
        <v>25</v>
      </c>
    </row>
    <row r="75" ht="26" spans="1:6">
      <c r="A75" s="548">
        <v>3</v>
      </c>
      <c r="B75" s="529"/>
      <c r="C75" s="514" t="s">
        <v>1956</v>
      </c>
      <c r="D75" s="514" t="s">
        <v>1957</v>
      </c>
      <c r="E75" s="548">
        <v>0.2</v>
      </c>
      <c r="F75" s="548">
        <v>25</v>
      </c>
    </row>
    <row r="76" ht="14" spans="1:6">
      <c r="A76" s="548">
        <v>4</v>
      </c>
      <c r="B76" s="529"/>
      <c r="C76" s="514" t="s">
        <v>1958</v>
      </c>
      <c r="D76" s="514" t="s">
        <v>1959</v>
      </c>
      <c r="E76" s="548">
        <v>0.15</v>
      </c>
      <c r="F76" s="548">
        <v>20</v>
      </c>
    </row>
    <row r="77" ht="26" spans="1:6">
      <c r="A77" s="548">
        <v>5</v>
      </c>
      <c r="B77" s="529"/>
      <c r="C77" s="514" t="s">
        <v>1960</v>
      </c>
      <c r="D77" s="514" t="s">
        <v>1961</v>
      </c>
      <c r="E77" s="548">
        <v>0.15</v>
      </c>
      <c r="F77" s="548">
        <v>20</v>
      </c>
    </row>
    <row r="78" ht="26" spans="1:6">
      <c r="A78" s="548">
        <v>6</v>
      </c>
      <c r="B78" s="529"/>
      <c r="C78" s="514" t="s">
        <v>1962</v>
      </c>
      <c r="D78" s="514" t="s">
        <v>1963</v>
      </c>
      <c r="E78" s="548">
        <v>0.15</v>
      </c>
      <c r="F78" s="548">
        <v>20</v>
      </c>
    </row>
    <row r="79" ht="26" spans="1:6">
      <c r="A79" s="548">
        <v>7</v>
      </c>
      <c r="B79" s="529"/>
      <c r="C79" s="514" t="s">
        <v>1964</v>
      </c>
      <c r="D79" s="514" t="s">
        <v>1965</v>
      </c>
      <c r="E79" s="548">
        <v>0.15</v>
      </c>
      <c r="F79" s="548">
        <v>20</v>
      </c>
    </row>
    <row r="80" ht="26" spans="1:6">
      <c r="A80" s="548">
        <v>8</v>
      </c>
      <c r="B80" s="529"/>
      <c r="C80" s="514" t="s">
        <v>1966</v>
      </c>
      <c r="D80" s="514" t="s">
        <v>1967</v>
      </c>
      <c r="E80" s="548">
        <v>0.1</v>
      </c>
      <c r="F80" s="548">
        <v>15</v>
      </c>
    </row>
    <row r="81" ht="26" spans="1:6">
      <c r="A81" s="548">
        <v>9</v>
      </c>
      <c r="B81" s="529"/>
      <c r="C81" s="514" t="s">
        <v>1968</v>
      </c>
      <c r="D81" s="514" t="s">
        <v>1969</v>
      </c>
      <c r="E81" s="548">
        <v>0.1</v>
      </c>
      <c r="F81" s="548">
        <v>15</v>
      </c>
    </row>
    <row r="82" ht="26" spans="1:6">
      <c r="A82" s="548">
        <v>10</v>
      </c>
      <c r="B82" s="529"/>
      <c r="C82" s="514" t="s">
        <v>1970</v>
      </c>
      <c r="D82" s="514" t="s">
        <v>1971</v>
      </c>
      <c r="E82" s="548">
        <v>0.1</v>
      </c>
      <c r="F82" s="548">
        <v>15</v>
      </c>
    </row>
    <row r="83" ht="26" spans="1:6">
      <c r="A83" s="548">
        <v>11</v>
      </c>
      <c r="B83" s="529"/>
      <c r="C83" s="514" t="s">
        <v>1972</v>
      </c>
      <c r="D83" s="514" t="s">
        <v>1973</v>
      </c>
      <c r="E83" s="548">
        <v>0.1</v>
      </c>
      <c r="F83" s="548">
        <v>15</v>
      </c>
    </row>
    <row r="84" ht="26" spans="1:6">
      <c r="A84" s="548">
        <v>12</v>
      </c>
      <c r="B84" s="529"/>
      <c r="C84" s="514" t="s">
        <v>1974</v>
      </c>
      <c r="D84" s="514" t="s">
        <v>1975</v>
      </c>
      <c r="E84" s="548">
        <v>0.1</v>
      </c>
      <c r="F84" s="548">
        <v>15</v>
      </c>
    </row>
    <row r="85" ht="14" spans="1:6">
      <c r="A85" s="548">
        <v>13</v>
      </c>
      <c r="B85" s="529"/>
      <c r="C85" s="514" t="s">
        <v>1976</v>
      </c>
      <c r="D85" s="514" t="s">
        <v>1977</v>
      </c>
      <c r="E85" s="548">
        <v>0.1</v>
      </c>
      <c r="F85" s="548">
        <v>15</v>
      </c>
    </row>
    <row r="86" ht="14" spans="1:6">
      <c r="A86" s="548">
        <v>14</v>
      </c>
      <c r="B86" s="529"/>
      <c r="C86" s="514" t="s">
        <v>1978</v>
      </c>
      <c r="D86" s="514" t="s">
        <v>1979</v>
      </c>
      <c r="E86" s="548">
        <v>0.1</v>
      </c>
      <c r="F86" s="548">
        <v>15</v>
      </c>
    </row>
    <row r="87" ht="14" spans="1:6">
      <c r="A87" s="548">
        <v>15</v>
      </c>
      <c r="B87" s="529"/>
      <c r="C87" s="514" t="s">
        <v>1980</v>
      </c>
      <c r="D87" s="514" t="s">
        <v>1981</v>
      </c>
      <c r="E87" s="548">
        <v>0.1</v>
      </c>
      <c r="F87" s="548">
        <v>15</v>
      </c>
    </row>
    <row r="88" ht="26" spans="1:6">
      <c r="A88" s="548">
        <v>16</v>
      </c>
      <c r="B88" s="529"/>
      <c r="C88" s="514" t="s">
        <v>1982</v>
      </c>
      <c r="D88" s="514" t="s">
        <v>1983</v>
      </c>
      <c r="E88" s="548">
        <v>0.1</v>
      </c>
      <c r="F88" s="548">
        <v>15</v>
      </c>
    </row>
    <row r="89" ht="26" spans="1:6">
      <c r="A89" s="548">
        <v>17</v>
      </c>
      <c r="B89" s="547"/>
      <c r="C89" s="514" t="s">
        <v>1984</v>
      </c>
      <c r="D89" s="514" t="s">
        <v>1985</v>
      </c>
      <c r="E89" s="548">
        <v>0.1</v>
      </c>
      <c r="F89" s="548">
        <v>15</v>
      </c>
    </row>
    <row r="90" ht="14" spans="1:6">
      <c r="A90" s="548">
        <v>18</v>
      </c>
      <c r="B90" s="545" t="s">
        <v>1986</v>
      </c>
      <c r="C90" s="514" t="s">
        <v>1987</v>
      </c>
      <c r="D90" s="514" t="s">
        <v>1988</v>
      </c>
      <c r="E90" s="548">
        <v>0.2</v>
      </c>
      <c r="F90" s="548">
        <v>25</v>
      </c>
    </row>
    <row r="91" ht="26" spans="1:6">
      <c r="A91" s="548">
        <v>19</v>
      </c>
      <c r="B91" s="529"/>
      <c r="C91" s="514" t="s">
        <v>1989</v>
      </c>
      <c r="D91" s="514" t="s">
        <v>1990</v>
      </c>
      <c r="E91" s="548">
        <v>0.2</v>
      </c>
      <c r="F91" s="548">
        <v>25</v>
      </c>
    </row>
    <row r="92" ht="14" spans="1:6">
      <c r="A92" s="548">
        <v>20</v>
      </c>
      <c r="B92" s="529"/>
      <c r="C92" s="514" t="s">
        <v>1991</v>
      </c>
      <c r="D92" s="514" t="s">
        <v>1992</v>
      </c>
      <c r="E92" s="548">
        <v>0.15</v>
      </c>
      <c r="F92" s="548">
        <v>20</v>
      </c>
    </row>
    <row r="93" ht="26" spans="1:6">
      <c r="A93" s="548">
        <v>21</v>
      </c>
      <c r="B93" s="529"/>
      <c r="C93" s="514" t="s">
        <v>1993</v>
      </c>
      <c r="D93" s="514" t="s">
        <v>1994</v>
      </c>
      <c r="E93" s="548">
        <v>0.15</v>
      </c>
      <c r="F93" s="548">
        <v>20</v>
      </c>
    </row>
    <row r="94" ht="26" spans="1:6">
      <c r="A94" s="548">
        <v>22</v>
      </c>
      <c r="B94" s="529"/>
      <c r="C94" s="514" t="s">
        <v>1995</v>
      </c>
      <c r="D94" s="514" t="s">
        <v>1996</v>
      </c>
      <c r="E94" s="548">
        <v>0.15</v>
      </c>
      <c r="F94" s="548">
        <v>20</v>
      </c>
    </row>
    <row r="95" ht="39" spans="1:6">
      <c r="A95" s="548">
        <v>23</v>
      </c>
      <c r="B95" s="529"/>
      <c r="C95" s="514" t="s">
        <v>1997</v>
      </c>
      <c r="D95" s="514" t="s">
        <v>1998</v>
      </c>
      <c r="E95" s="548">
        <v>0.15</v>
      </c>
      <c r="F95" s="548">
        <v>20</v>
      </c>
    </row>
    <row r="96" ht="14" spans="1:6">
      <c r="A96" s="548">
        <v>24</v>
      </c>
      <c r="B96" s="529"/>
      <c r="C96" s="514" t="s">
        <v>1999</v>
      </c>
      <c r="D96" s="514" t="s">
        <v>2000</v>
      </c>
      <c r="E96" s="548">
        <v>0.1</v>
      </c>
      <c r="F96" s="548">
        <v>15</v>
      </c>
    </row>
    <row r="97" ht="26" spans="1:6">
      <c r="A97" s="548">
        <v>25</v>
      </c>
      <c r="B97" s="529"/>
      <c r="C97" s="514" t="s">
        <v>2001</v>
      </c>
      <c r="D97" s="514" t="s">
        <v>2002</v>
      </c>
      <c r="E97" s="548">
        <v>0.1</v>
      </c>
      <c r="F97" s="548">
        <v>15</v>
      </c>
    </row>
    <row r="98" ht="26" spans="1:6">
      <c r="A98" s="548">
        <v>26</v>
      </c>
      <c r="B98" s="529"/>
      <c r="C98" s="514" t="s">
        <v>2003</v>
      </c>
      <c r="D98" s="514" t="s">
        <v>2004</v>
      </c>
      <c r="E98" s="548">
        <v>0.1</v>
      </c>
      <c r="F98" s="548">
        <v>15</v>
      </c>
    </row>
    <row r="99" ht="26" spans="1:6">
      <c r="A99" s="548">
        <v>27</v>
      </c>
      <c r="B99" s="529"/>
      <c r="C99" s="514" t="s">
        <v>2005</v>
      </c>
      <c r="D99" s="514" t="s">
        <v>2006</v>
      </c>
      <c r="E99" s="548">
        <v>0.1</v>
      </c>
      <c r="F99" s="548">
        <v>15</v>
      </c>
    </row>
    <row r="100" ht="26" spans="1:6">
      <c r="A100" s="548">
        <v>28</v>
      </c>
      <c r="B100" s="529"/>
      <c r="C100" s="514" t="s">
        <v>2007</v>
      </c>
      <c r="D100" s="514" t="s">
        <v>2008</v>
      </c>
      <c r="E100" s="548">
        <v>0.1</v>
      </c>
      <c r="F100" s="548">
        <v>15</v>
      </c>
    </row>
    <row r="101" ht="26" spans="1:6">
      <c r="A101" s="548">
        <v>29</v>
      </c>
      <c r="B101" s="529"/>
      <c r="C101" s="514" t="s">
        <v>2009</v>
      </c>
      <c r="D101" s="514" t="s">
        <v>2010</v>
      </c>
      <c r="E101" s="548">
        <v>0.1</v>
      </c>
      <c r="F101" s="548">
        <v>15</v>
      </c>
    </row>
    <row r="102" ht="26" spans="1:6">
      <c r="A102" s="548">
        <v>30</v>
      </c>
      <c r="B102" s="529"/>
      <c r="C102" s="514" t="s">
        <v>2011</v>
      </c>
      <c r="D102" s="514" t="s">
        <v>2012</v>
      </c>
      <c r="E102" s="548">
        <v>0.1</v>
      </c>
      <c r="F102" s="548">
        <v>15</v>
      </c>
    </row>
    <row r="103" ht="26" spans="1:6">
      <c r="A103" s="548">
        <v>31</v>
      </c>
      <c r="B103" s="529"/>
      <c r="C103" s="514" t="s">
        <v>2013</v>
      </c>
      <c r="D103" s="514" t="s">
        <v>2014</v>
      </c>
      <c r="E103" s="548">
        <v>0.1</v>
      </c>
      <c r="F103" s="548">
        <v>15</v>
      </c>
    </row>
    <row r="104" ht="26" spans="1:6">
      <c r="A104" s="548">
        <v>32</v>
      </c>
      <c r="B104" s="529"/>
      <c r="C104" s="514" t="s">
        <v>2015</v>
      </c>
      <c r="D104" s="514" t="s">
        <v>2016</v>
      </c>
      <c r="E104" s="548">
        <v>0.1</v>
      </c>
      <c r="F104" s="548">
        <v>15</v>
      </c>
    </row>
    <row r="105" ht="26" spans="1:6">
      <c r="A105" s="548">
        <v>33</v>
      </c>
      <c r="B105" s="529"/>
      <c r="C105" s="514" t="s">
        <v>2017</v>
      </c>
      <c r="D105" s="514" t="s">
        <v>2018</v>
      </c>
      <c r="E105" s="548">
        <v>0.1</v>
      </c>
      <c r="F105" s="548">
        <v>15</v>
      </c>
    </row>
    <row r="106" ht="26" spans="1:6">
      <c r="A106" s="548">
        <v>34</v>
      </c>
      <c r="B106" s="547"/>
      <c r="C106" s="514" t="s">
        <v>2019</v>
      </c>
      <c r="D106" s="514" t="s">
        <v>2020</v>
      </c>
      <c r="E106" s="548">
        <v>0.1</v>
      </c>
      <c r="F106" s="548">
        <v>15</v>
      </c>
    </row>
    <row r="107" ht="26" spans="1:6">
      <c r="A107" s="548">
        <v>35</v>
      </c>
      <c r="B107" s="545" t="s">
        <v>2021</v>
      </c>
      <c r="C107" s="548" t="s">
        <v>2022</v>
      </c>
      <c r="D107" s="514" t="s">
        <v>2023</v>
      </c>
      <c r="E107" s="548">
        <v>0.15</v>
      </c>
      <c r="F107" s="548">
        <v>20</v>
      </c>
    </row>
    <row r="108" ht="26" spans="1:6">
      <c r="A108" s="548">
        <v>36</v>
      </c>
      <c r="B108" s="529"/>
      <c r="C108" s="548" t="s">
        <v>2024</v>
      </c>
      <c r="D108" s="514" t="s">
        <v>2025</v>
      </c>
      <c r="E108" s="548">
        <v>0.15</v>
      </c>
      <c r="F108" s="548">
        <v>20</v>
      </c>
    </row>
    <row r="109" ht="26" spans="1:6">
      <c r="A109" s="548">
        <v>37</v>
      </c>
      <c r="B109" s="529"/>
      <c r="C109" s="548" t="s">
        <v>2026</v>
      </c>
      <c r="D109" s="514" t="s">
        <v>2027</v>
      </c>
      <c r="E109" s="548">
        <v>0.15</v>
      </c>
      <c r="F109" s="548">
        <v>20</v>
      </c>
    </row>
    <row r="110" ht="14" spans="1:6">
      <c r="A110" s="548">
        <v>38</v>
      </c>
      <c r="B110" s="529"/>
      <c r="C110" s="548" t="s">
        <v>2028</v>
      </c>
      <c r="D110" s="514" t="s">
        <v>2029</v>
      </c>
      <c r="E110" s="548">
        <v>0.1</v>
      </c>
      <c r="F110" s="548">
        <v>15</v>
      </c>
    </row>
    <row r="111" ht="26" spans="1:6">
      <c r="A111" s="548">
        <v>39</v>
      </c>
      <c r="B111" s="529"/>
      <c r="C111" s="548" t="s">
        <v>2030</v>
      </c>
      <c r="D111" s="514" t="s">
        <v>2031</v>
      </c>
      <c r="E111" s="548">
        <v>0.1</v>
      </c>
      <c r="F111" s="548">
        <v>15</v>
      </c>
    </row>
    <row r="112" ht="26" spans="1:6">
      <c r="A112" s="548">
        <v>40</v>
      </c>
      <c r="B112" s="547"/>
      <c r="C112" s="548" t="s">
        <v>2032</v>
      </c>
      <c r="D112" s="514" t="s">
        <v>2033</v>
      </c>
      <c r="E112" s="548">
        <v>0.1</v>
      </c>
      <c r="F112" s="548">
        <v>15</v>
      </c>
    </row>
    <row r="113" ht="26" spans="1:6">
      <c r="A113" s="548">
        <v>41</v>
      </c>
      <c r="B113" s="548" t="s">
        <v>2034</v>
      </c>
      <c r="C113" s="548" t="s">
        <v>2035</v>
      </c>
      <c r="D113" s="514" t="s">
        <v>2036</v>
      </c>
      <c r="E113" s="548">
        <v>0.1</v>
      </c>
      <c r="F113" s="548">
        <v>15</v>
      </c>
    </row>
    <row r="114" ht="14" spans="1:6">
      <c r="A114" s="548">
        <v>42</v>
      </c>
      <c r="B114" s="548"/>
      <c r="C114" s="548" t="s">
        <v>2037</v>
      </c>
      <c r="D114" s="514" t="s">
        <v>2038</v>
      </c>
      <c r="E114" s="548">
        <v>0.1</v>
      </c>
      <c r="F114" s="548">
        <v>15</v>
      </c>
    </row>
    <row r="115" ht="26" spans="1:6">
      <c r="A115" s="548">
        <v>43</v>
      </c>
      <c r="B115" s="548"/>
      <c r="C115" s="548" t="s">
        <v>2039</v>
      </c>
      <c r="D115" s="514" t="s">
        <v>2040</v>
      </c>
      <c r="E115" s="548">
        <v>0.1</v>
      </c>
      <c r="F115" s="548">
        <v>15</v>
      </c>
    </row>
    <row r="116" ht="26" spans="1:6">
      <c r="A116" s="548">
        <v>44</v>
      </c>
      <c r="B116" s="545" t="s">
        <v>2041</v>
      </c>
      <c r="C116" s="548" t="s">
        <v>2042</v>
      </c>
      <c r="D116" s="514" t="s">
        <v>2043</v>
      </c>
      <c r="E116" s="548">
        <v>0.1</v>
      </c>
      <c r="F116" s="548">
        <v>15</v>
      </c>
    </row>
    <row r="117" ht="26" spans="1:6">
      <c r="A117" s="548">
        <v>45</v>
      </c>
      <c r="B117" s="547"/>
      <c r="C117" s="514" t="s">
        <v>2044</v>
      </c>
      <c r="D117" s="514" t="s">
        <v>2045</v>
      </c>
      <c r="E117" s="548">
        <v>0.1</v>
      </c>
      <c r="F117" s="548">
        <v>15</v>
      </c>
    </row>
    <row r="118" ht="26" spans="1:6">
      <c r="A118" s="548">
        <v>46</v>
      </c>
      <c r="B118" s="545" t="s">
        <v>2046</v>
      </c>
      <c r="C118" s="548" t="s">
        <v>2047</v>
      </c>
      <c r="D118" s="514" t="s">
        <v>2048</v>
      </c>
      <c r="E118" s="548">
        <v>0.1</v>
      </c>
      <c r="F118" s="548">
        <v>15</v>
      </c>
    </row>
    <row r="119" ht="26" spans="1:6">
      <c r="A119" s="548">
        <v>47</v>
      </c>
      <c r="B119" s="547"/>
      <c r="C119" s="548" t="s">
        <v>2049</v>
      </c>
      <c r="D119" s="514" t="s">
        <v>2050</v>
      </c>
      <c r="E119" s="548">
        <v>0.1</v>
      </c>
      <c r="F119" s="548">
        <v>15</v>
      </c>
    </row>
    <row r="120" ht="26" spans="1:6">
      <c r="A120" s="548">
        <v>48</v>
      </c>
      <c r="B120" s="545" t="s">
        <v>2051</v>
      </c>
      <c r="C120" s="548" t="s">
        <v>2052</v>
      </c>
      <c r="D120" s="514" t="s">
        <v>2053</v>
      </c>
      <c r="E120" s="548">
        <v>0.1</v>
      </c>
      <c r="F120" s="548">
        <v>15</v>
      </c>
    </row>
    <row r="121" ht="14" spans="1:6">
      <c r="A121" s="548">
        <v>49</v>
      </c>
      <c r="B121" s="547"/>
      <c r="C121" s="548" t="s">
        <v>2054</v>
      </c>
      <c r="D121" s="514" t="s">
        <v>2055</v>
      </c>
      <c r="E121" s="548">
        <v>0.1</v>
      </c>
      <c r="F121" s="548">
        <v>15</v>
      </c>
    </row>
    <row r="122" ht="26" spans="1:6">
      <c r="A122" s="548">
        <v>50</v>
      </c>
      <c r="B122" s="548" t="s">
        <v>2056</v>
      </c>
      <c r="C122" s="548" t="s">
        <v>2057</v>
      </c>
      <c r="D122" s="514" t="s">
        <v>2058</v>
      </c>
      <c r="E122" s="548">
        <v>0.1</v>
      </c>
      <c r="F122" s="548">
        <v>15</v>
      </c>
    </row>
    <row r="123" ht="26" spans="1:6">
      <c r="A123" s="548">
        <v>51</v>
      </c>
      <c r="B123" s="548"/>
      <c r="C123" s="548" t="s">
        <v>2059</v>
      </c>
      <c r="D123" s="514" t="s">
        <v>2060</v>
      </c>
      <c r="E123" s="548">
        <v>0.1</v>
      </c>
      <c r="F123" s="548">
        <v>15</v>
      </c>
    </row>
    <row r="124" ht="26" spans="1:6">
      <c r="A124" s="548">
        <v>52</v>
      </c>
      <c r="B124" s="548" t="s">
        <v>2061</v>
      </c>
      <c r="C124" s="548" t="s">
        <v>2062</v>
      </c>
      <c r="D124" s="514" t="s">
        <v>2063</v>
      </c>
      <c r="E124" s="548">
        <v>0.1</v>
      </c>
      <c r="F124" s="548">
        <v>15</v>
      </c>
    </row>
    <row r="125" ht="26" spans="1:6">
      <c r="A125" s="548">
        <v>53</v>
      </c>
      <c r="B125" s="548"/>
      <c r="C125" s="548" t="s">
        <v>2064</v>
      </c>
      <c r="D125" s="514" t="s">
        <v>2065</v>
      </c>
      <c r="E125" s="548">
        <v>0.1</v>
      </c>
      <c r="F125" s="548">
        <v>15</v>
      </c>
    </row>
    <row r="126" ht="26" spans="1:6">
      <c r="A126" s="548">
        <v>54</v>
      </c>
      <c r="B126" s="548" t="s">
        <v>2066</v>
      </c>
      <c r="C126" s="548" t="s">
        <v>2067</v>
      </c>
      <c r="D126" s="514" t="s">
        <v>2068</v>
      </c>
      <c r="E126" s="548">
        <v>0.1</v>
      </c>
      <c r="F126" s="548">
        <v>15</v>
      </c>
    </row>
    <row r="127" ht="14" spans="1:6">
      <c r="A127" s="548">
        <v>55</v>
      </c>
      <c r="B127" s="548" t="s">
        <v>2069</v>
      </c>
      <c r="C127" s="548" t="s">
        <v>2070</v>
      </c>
      <c r="D127" s="514" t="s">
        <v>2071</v>
      </c>
      <c r="E127" s="548">
        <v>0.1</v>
      </c>
      <c r="F127" s="548">
        <v>15</v>
      </c>
    </row>
    <row r="128" ht="14" spans="1:6">
      <c r="A128" s="548">
        <v>56</v>
      </c>
      <c r="B128" s="548"/>
      <c r="C128" s="548" t="s">
        <v>2072</v>
      </c>
      <c r="D128" s="514" t="s">
        <v>2073</v>
      </c>
      <c r="E128" s="548">
        <v>0.1</v>
      </c>
      <c r="F128" s="548">
        <v>15</v>
      </c>
    </row>
    <row r="129" ht="26" spans="1:6">
      <c r="A129" s="548">
        <v>57</v>
      </c>
      <c r="B129" s="548"/>
      <c r="C129" s="548" t="s">
        <v>2074</v>
      </c>
      <c r="D129" s="514" t="s">
        <v>2075</v>
      </c>
      <c r="E129" s="548">
        <v>0.1</v>
      </c>
      <c r="F129" s="548">
        <v>15</v>
      </c>
    </row>
    <row r="130" ht="26" spans="1:6">
      <c r="A130" s="548">
        <v>58</v>
      </c>
      <c r="B130" s="548" t="s">
        <v>2076</v>
      </c>
      <c r="C130" s="548" t="s">
        <v>2077</v>
      </c>
      <c r="D130" s="514" t="s">
        <v>2078</v>
      </c>
      <c r="E130" s="548">
        <v>0.1</v>
      </c>
      <c r="F130" s="548">
        <v>15</v>
      </c>
    </row>
    <row r="131" ht="26" spans="1:6">
      <c r="A131" s="548">
        <v>59</v>
      </c>
      <c r="B131" s="548"/>
      <c r="C131" s="548" t="s">
        <v>2079</v>
      </c>
      <c r="D131" s="514" t="s">
        <v>2080</v>
      </c>
      <c r="E131" s="548">
        <v>0.1</v>
      </c>
      <c r="F131" s="548">
        <v>15</v>
      </c>
    </row>
    <row r="132" ht="26" spans="1:6">
      <c r="A132" s="548">
        <v>60</v>
      </c>
      <c r="B132" s="545" t="s">
        <v>2081</v>
      </c>
      <c r="C132" s="548" t="s">
        <v>2082</v>
      </c>
      <c r="D132" s="514" t="s">
        <v>2083</v>
      </c>
      <c r="E132" s="548">
        <v>0.1</v>
      </c>
      <c r="F132" s="548">
        <v>15</v>
      </c>
    </row>
    <row r="133" ht="26" spans="1:6">
      <c r="A133" s="548">
        <v>61</v>
      </c>
      <c r="B133" s="547"/>
      <c r="C133" s="548" t="s">
        <v>2084</v>
      </c>
      <c r="D133" s="514" t="s">
        <v>2085</v>
      </c>
      <c r="E133" s="548">
        <v>0.1</v>
      </c>
      <c r="F133" s="548">
        <v>15</v>
      </c>
    </row>
    <row r="134" ht="26" spans="1:6">
      <c r="A134" s="548">
        <v>62</v>
      </c>
      <c r="B134" s="548" t="s">
        <v>2086</v>
      </c>
      <c r="C134" s="548" t="s">
        <v>2087</v>
      </c>
      <c r="D134" s="514" t="s">
        <v>2088</v>
      </c>
      <c r="E134" s="548">
        <v>0.1</v>
      </c>
      <c r="F134" s="548">
        <v>15</v>
      </c>
    </row>
    <row r="135" ht="26" spans="1:6">
      <c r="A135" s="548">
        <v>63</v>
      </c>
      <c r="B135" s="548" t="s">
        <v>2089</v>
      </c>
      <c r="C135" s="548" t="s">
        <v>2090</v>
      </c>
      <c r="D135" s="514" t="s">
        <v>2091</v>
      </c>
      <c r="E135" s="548">
        <v>0.1</v>
      </c>
      <c r="F135" s="548">
        <v>15</v>
      </c>
    </row>
    <row r="136" ht="14" spans="1:6">
      <c r="A136" s="548">
        <v>64</v>
      </c>
      <c r="B136" s="548"/>
      <c r="C136" s="548" t="s">
        <v>2092</v>
      </c>
      <c r="D136" s="514" t="s">
        <v>2093</v>
      </c>
      <c r="E136" s="548">
        <v>0.1</v>
      </c>
      <c r="F136" s="548">
        <v>15</v>
      </c>
    </row>
    <row r="137" ht="26" spans="1:6">
      <c r="A137" s="548">
        <v>65</v>
      </c>
      <c r="B137" s="548" t="s">
        <v>2094</v>
      </c>
      <c r="C137" s="548" t="s">
        <v>2095</v>
      </c>
      <c r="D137" s="514" t="s">
        <v>2096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2097</v>
      </c>
      <c r="B1" s="479"/>
      <c r="C1" s="479"/>
      <c r="D1" s="479"/>
      <c r="E1" s="479"/>
      <c r="F1" s="479"/>
      <c r="G1" s="479"/>
      <c r="H1" s="479"/>
      <c r="I1" s="479"/>
      <c r="J1" s="479"/>
      <c r="K1" s="479"/>
      <c r="L1" s="479"/>
      <c r="M1" s="479"/>
      <c r="N1" s="486"/>
    </row>
    <row r="2" spans="1:20">
      <c r="A2" s="480" t="s">
        <v>2098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2099</v>
      </c>
      <c r="R2" s="491" t="s">
        <v>2100</v>
      </c>
      <c r="S2" s="491" t="s">
        <v>2101</v>
      </c>
      <c r="T2" s="491" t="s">
        <v>2102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2103</v>
      </c>
      <c r="B93" s="479"/>
      <c r="C93" s="479"/>
      <c r="D93" s="479"/>
      <c r="E93" s="479"/>
      <c r="F93" s="479"/>
      <c r="G93" s="479"/>
      <c r="H93" s="479"/>
      <c r="I93" s="479"/>
      <c r="J93" s="479"/>
      <c r="K93" s="479"/>
      <c r="L93" s="479"/>
      <c r="M93" s="479"/>
    </row>
    <row r="94" spans="1:20">
      <c r="A94" s="480" t="s">
        <v>2098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2099</v>
      </c>
      <c r="R94" s="491" t="s">
        <v>2100</v>
      </c>
      <c r="S94" s="491" t="s">
        <v>2101</v>
      </c>
      <c r="T94" s="491" t="s">
        <v>2102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2104</v>
      </c>
      <c r="B185" s="479"/>
      <c r="C185" s="479"/>
      <c r="D185" s="479"/>
      <c r="E185" s="479"/>
      <c r="F185" s="479"/>
      <c r="G185" s="479"/>
      <c r="H185" s="479"/>
      <c r="I185" s="479"/>
      <c r="J185" s="479"/>
      <c r="K185" s="479"/>
      <c r="L185" s="479"/>
      <c r="M185" s="479"/>
    </row>
    <row r="186" spans="1:20">
      <c r="A186" s="480" t="s">
        <v>2098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2099</v>
      </c>
      <c r="R186" s="491" t="s">
        <v>2100</v>
      </c>
      <c r="S186" s="491" t="s">
        <v>2101</v>
      </c>
      <c r="T186" s="491" t="s">
        <v>2102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2105</v>
      </c>
      <c r="B277" s="479"/>
      <c r="C277" s="479"/>
      <c r="D277" s="479"/>
      <c r="E277" s="479"/>
      <c r="F277" s="479"/>
      <c r="G277" s="479"/>
      <c r="H277" s="479"/>
      <c r="I277" s="479"/>
      <c r="J277" s="479"/>
      <c r="K277" s="479"/>
      <c r="L277" s="479"/>
      <c r="M277" s="479"/>
    </row>
    <row r="278" spans="1:21">
      <c r="A278" s="480" t="s">
        <v>2098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2099</v>
      </c>
      <c r="R278" s="491" t="s">
        <v>2100</v>
      </c>
      <c r="S278" s="491" t="s">
        <v>2106</v>
      </c>
      <c r="T278" s="491" t="s">
        <v>2107</v>
      </c>
      <c r="U278" s="491" t="s">
        <v>2102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2108</v>
      </c>
      <c r="B369" s="495"/>
      <c r="C369" s="495"/>
      <c r="D369" s="495"/>
      <c r="E369" s="495"/>
      <c r="F369" s="495"/>
      <c r="G369" s="495"/>
      <c r="H369" s="495"/>
      <c r="I369" s="495"/>
      <c r="J369" s="495"/>
      <c r="K369" s="495"/>
      <c r="L369" s="495"/>
      <c r="M369" s="495"/>
    </row>
    <row r="370" spans="1:20">
      <c r="A370" s="480" t="s">
        <v>2098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2099</v>
      </c>
      <c r="R370" s="491" t="s">
        <v>2100</v>
      </c>
      <c r="S370" s="491" t="s">
        <v>2101</v>
      </c>
      <c r="T370" s="491" t="s">
        <v>2102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2109</v>
      </c>
      <c r="B1" s="390"/>
      <c r="C1" s="391"/>
      <c r="D1" s="391"/>
      <c r="E1" s="391"/>
      <c r="F1" s="391"/>
      <c r="G1" s="392"/>
    </row>
    <row r="2" s="381" customFormat="1" ht="18" customHeight="1" spans="1:7">
      <c r="A2" s="393" t="s">
        <v>2110</v>
      </c>
      <c r="B2" s="394" t="e">
        <f ca="1">C52</f>
        <v>#DIV/0!</v>
      </c>
      <c r="C2" s="395" t="s">
        <v>1328</v>
      </c>
      <c r="D2" s="392"/>
      <c r="E2" s="392"/>
      <c r="F2" s="392"/>
      <c r="G2" s="392"/>
    </row>
    <row r="3" s="381" customFormat="1" ht="18" customHeight="1" spans="1:7">
      <c r="A3" s="396" t="s">
        <v>2111</v>
      </c>
      <c r="B3" s="397" t="e">
        <f ca="1">ROUND(B2*10000/'数据-汇总表'!E3,0)</f>
        <v>#DIV/0!</v>
      </c>
      <c r="C3" s="395" t="s">
        <v>1581</v>
      </c>
      <c r="D3" s="392"/>
      <c r="E3" s="392"/>
      <c r="F3" s="392"/>
      <c r="G3" s="392"/>
    </row>
    <row r="4" s="382" customFormat="1" ht="15.5" spans="1:7">
      <c r="A4" s="398" t="s">
        <v>2112</v>
      </c>
      <c r="B4" s="399"/>
      <c r="C4" s="399"/>
      <c r="D4" s="399"/>
      <c r="E4" s="399"/>
      <c r="F4" s="399"/>
      <c r="G4" s="400"/>
    </row>
    <row r="5" s="383" customFormat="1" ht="13.5" customHeight="1" spans="1:7">
      <c r="A5" s="401" t="s">
        <v>984</v>
      </c>
      <c r="B5" s="402" t="s">
        <v>2113</v>
      </c>
      <c r="C5" s="403">
        <f>C6+C7+C8</f>
        <v>20000</v>
      </c>
      <c r="D5" s="403" t="s">
        <v>2114</v>
      </c>
      <c r="E5" s="404" t="s">
        <v>2115</v>
      </c>
      <c r="F5" s="404" t="s">
        <v>2116</v>
      </c>
      <c r="G5" s="405"/>
    </row>
    <row r="6" s="383" customFormat="1" ht="13.5" customHeight="1" spans="1:7">
      <c r="A6" s="406" t="s">
        <v>988</v>
      </c>
      <c r="B6" s="407" t="s">
        <v>2117</v>
      </c>
      <c r="C6" s="408">
        <v>20000</v>
      </c>
      <c r="D6" s="409"/>
      <c r="E6" s="410"/>
      <c r="F6" s="410"/>
      <c r="G6" s="411"/>
    </row>
    <row r="7" s="383" customFormat="1" ht="13.5" customHeight="1" spans="1:7">
      <c r="A7" s="406" t="s">
        <v>990</v>
      </c>
      <c r="B7" s="407" t="s">
        <v>2118</v>
      </c>
      <c r="C7" s="412">
        <f>ROUND(C6*F7,0)</f>
        <v>0</v>
      </c>
      <c r="D7" s="412"/>
      <c r="E7" s="410"/>
      <c r="F7" s="413">
        <f>'数据-取费表'!B48+'数据-取费表'!B49</f>
        <v>0</v>
      </c>
      <c r="G7" s="411"/>
    </row>
    <row r="8" s="384" customFormat="1" ht="13" spans="1:7">
      <c r="A8" s="406" t="s">
        <v>992</v>
      </c>
      <c r="B8" s="407" t="s">
        <v>2119</v>
      </c>
      <c r="C8" s="412" t="str">
        <f>IF(G8="已包含在土地购买价格中","0",'数据-取费表'!B29)</f>
        <v>0</v>
      </c>
      <c r="D8" s="414"/>
      <c r="E8" s="412"/>
      <c r="F8" s="413"/>
      <c r="G8" s="415" t="s">
        <v>2120</v>
      </c>
    </row>
    <row r="9" s="383" customFormat="1" ht="13.5" customHeight="1" spans="1:7">
      <c r="A9" s="416" t="s">
        <v>994</v>
      </c>
      <c r="B9" s="417" t="s">
        <v>2121</v>
      </c>
      <c r="C9" s="418">
        <f>ROUND(D9*E9/10000,0)</f>
        <v>0</v>
      </c>
      <c r="D9" s="419">
        <f>'数据-汇总表'!E5</f>
        <v>0</v>
      </c>
      <c r="E9" s="418">
        <f>'数据-取费表'!B27</f>
        <v>0</v>
      </c>
      <c r="F9" s="413"/>
      <c r="G9" s="420"/>
    </row>
    <row r="10" s="383" customFormat="1" ht="13.5" customHeight="1" spans="1:7">
      <c r="A10" s="416" t="s">
        <v>997</v>
      </c>
      <c r="B10" s="417" t="s">
        <v>2122</v>
      </c>
      <c r="C10" s="418">
        <f>ROUND(D10*E10/10000,0)</f>
        <v>0</v>
      </c>
      <c r="D10" s="419">
        <f>'数据-汇总表'!E6</f>
        <v>0</v>
      </c>
      <c r="E10" s="418">
        <f>'数据-取费表'!B28</f>
        <v>0</v>
      </c>
      <c r="F10" s="413"/>
      <c r="G10" s="420"/>
    </row>
    <row r="11" s="383" customFormat="1" ht="13.5" hidden="1" customHeight="1" spans="1:7">
      <c r="A11" s="421" t="s">
        <v>999</v>
      </c>
      <c r="B11" s="407" t="s">
        <v>2123</v>
      </c>
      <c r="C11" s="403"/>
      <c r="D11" s="422"/>
      <c r="E11" s="410"/>
      <c r="F11" s="410"/>
      <c r="G11" s="411"/>
    </row>
    <row r="12" s="383" customFormat="1" ht="13.5" hidden="1" customHeight="1" spans="1:7">
      <c r="A12" s="421" t="s">
        <v>1001</v>
      </c>
      <c r="B12" s="407" t="s">
        <v>2124</v>
      </c>
      <c r="C12" s="403">
        <v>0</v>
      </c>
      <c r="D12" s="422"/>
      <c r="E12" s="423"/>
      <c r="F12" s="413">
        <v>0.0305</v>
      </c>
      <c r="G12" s="411"/>
    </row>
    <row r="13" s="383" customFormat="1" ht="13.5" hidden="1" customHeight="1" spans="1:7">
      <c r="A13" s="421" t="s">
        <v>1002</v>
      </c>
      <c r="B13" s="407" t="s">
        <v>2125</v>
      </c>
      <c r="C13" s="403"/>
      <c r="D13" s="422"/>
      <c r="E13" s="410"/>
      <c r="F13" s="410"/>
      <c r="G13" s="411"/>
    </row>
    <row r="14" s="383" customFormat="1" ht="13.5" hidden="1" customHeight="1" spans="1:7">
      <c r="A14" s="421" t="s">
        <v>1004</v>
      </c>
      <c r="B14" s="407" t="s">
        <v>2119</v>
      </c>
      <c r="C14" s="403"/>
      <c r="D14" s="422"/>
      <c r="E14" s="410"/>
      <c r="F14" s="410"/>
      <c r="G14" s="411" t="s">
        <v>2126</v>
      </c>
    </row>
    <row r="15" s="383" customFormat="1" ht="13.5" hidden="1" customHeight="1" spans="1:7">
      <c r="A15" s="421" t="s">
        <v>1006</v>
      </c>
      <c r="B15" s="407" t="s">
        <v>2127</v>
      </c>
      <c r="C15" s="412"/>
      <c r="D15" s="422"/>
      <c r="E15" s="410"/>
      <c r="F15" s="410"/>
      <c r="G15" s="411" t="s">
        <v>2128</v>
      </c>
    </row>
    <row r="16" s="383" customFormat="1" ht="13.5" hidden="1" customHeight="1" spans="1:7">
      <c r="A16" s="421" t="s">
        <v>1009</v>
      </c>
      <c r="B16" s="407" t="s">
        <v>2119</v>
      </c>
      <c r="C16" s="412"/>
      <c r="D16" s="422"/>
      <c r="E16" s="410"/>
      <c r="F16" s="410"/>
      <c r="G16" s="411"/>
    </row>
    <row r="17" s="383" customFormat="1" ht="13.5" hidden="1" customHeight="1" spans="1:7">
      <c r="A17" s="421" t="s">
        <v>1010</v>
      </c>
      <c r="B17" s="407" t="s">
        <v>2129</v>
      </c>
      <c r="C17" s="424"/>
      <c r="D17" s="425"/>
      <c r="E17" s="424"/>
      <c r="F17" s="424"/>
      <c r="G17" s="411" t="s">
        <v>2128</v>
      </c>
    </row>
    <row r="18" s="383" customFormat="1" ht="13.5" hidden="1" customHeight="1" spans="1:7">
      <c r="A18" s="421" t="s">
        <v>1012</v>
      </c>
      <c r="B18" s="407" t="s">
        <v>2130</v>
      </c>
      <c r="C18" s="412">
        <v>0</v>
      </c>
      <c r="D18" s="422"/>
      <c r="E18" s="410"/>
      <c r="F18" s="413">
        <v>0.0305</v>
      </c>
      <c r="G18" s="411" t="s">
        <v>2131</v>
      </c>
    </row>
    <row r="19" s="384" customFormat="1" ht="13.5" customHeight="1" spans="1:7">
      <c r="A19" s="426" t="s">
        <v>1684</v>
      </c>
      <c r="B19" s="402" t="s">
        <v>2132</v>
      </c>
      <c r="C19" s="403">
        <f>IF(G19="已包含在土地取得成本中","0",ROUND(D19*E19/10000,0))</f>
        <v>0</v>
      </c>
      <c r="D19" s="427">
        <f>'数据-汇总表'!E3</f>
        <v>0</v>
      </c>
      <c r="E19" s="403">
        <f>'数据-取费表'!B31</f>
        <v>0</v>
      </c>
      <c r="F19" s="428"/>
      <c r="G19" s="415" t="s">
        <v>2133</v>
      </c>
    </row>
    <row r="20" s="383" customFormat="1" ht="13.5" customHeight="1" spans="1:7">
      <c r="A20" s="426" t="s">
        <v>1720</v>
      </c>
      <c r="B20" s="402" t="s">
        <v>2134</v>
      </c>
      <c r="C20" s="429">
        <f>ROUND((C5+C19)*F20,0)</f>
        <v>0</v>
      </c>
      <c r="D20" s="429"/>
      <c r="E20" s="429"/>
      <c r="F20" s="430">
        <f>'数据-取费表'!B37</f>
        <v>0</v>
      </c>
      <c r="G20" s="431" t="s">
        <v>2135</v>
      </c>
    </row>
    <row r="21" s="383" customFormat="1" ht="13.5" customHeight="1" spans="1:7">
      <c r="A21" s="426" t="s">
        <v>1725</v>
      </c>
      <c r="B21" s="402" t="s">
        <v>2136</v>
      </c>
      <c r="C21" s="432">
        <f>F21</f>
        <v>0</v>
      </c>
      <c r="D21" s="433" t="s">
        <v>2137</v>
      </c>
      <c r="E21" s="429"/>
      <c r="F21" s="430">
        <f>'数据-取费表'!B38</f>
        <v>0</v>
      </c>
      <c r="G21" s="434" t="s">
        <v>2138</v>
      </c>
    </row>
    <row r="22" s="383" customFormat="1" ht="13.5" customHeight="1" spans="1:7">
      <c r="A22" s="426" t="s">
        <v>1734</v>
      </c>
      <c r="B22" s="402" t="s">
        <v>2139</v>
      </c>
      <c r="C22" s="435">
        <f ca="1">ROUND(SUM(C23:C25),0)</f>
        <v>0</v>
      </c>
      <c r="D22" s="432">
        <f ca="1">C26</f>
        <v>0</v>
      </c>
      <c r="E22" s="433" t="s">
        <v>2137</v>
      </c>
      <c r="F22" s="436">
        <f ca="1">'数据-取费表'!B40</f>
        <v>0</v>
      </c>
      <c r="G22" s="431" t="str">
        <f>IF('数据-取费表'!B22&lt;=1,"单利计息","复利计息")</f>
        <v>单利计息</v>
      </c>
    </row>
    <row r="23" s="383" customFormat="1" ht="13.5" customHeight="1" spans="1:7">
      <c r="A23" s="437" t="s">
        <v>988</v>
      </c>
      <c r="B23" s="407" t="s">
        <v>2140</v>
      </c>
      <c r="C23" s="438">
        <f ca="1">ROUND(IF('数据-取费表'!B22&lt;=1,C5*F22*'数据-取费表'!B23,C5*(POWER((1+F22),'数据-取费表'!B23)-1)),0)</f>
        <v>0</v>
      </c>
      <c r="D23" s="439"/>
      <c r="E23" s="439"/>
      <c r="F23" s="440"/>
      <c r="G23" s="441" t="s">
        <v>2141</v>
      </c>
    </row>
    <row r="24" s="383" customFormat="1" ht="13.5" customHeight="1" spans="1:7">
      <c r="A24" s="437" t="s">
        <v>990</v>
      </c>
      <c r="B24" s="407" t="s">
        <v>2142</v>
      </c>
      <c r="C24" s="438">
        <f ca="1">ROUND(IF('数据-取费表'!B22&lt;=1,C19*F22*('数据-取费表'!B19/2+'数据-取费表'!B21),C19*(POWER((1+F22),('数据-取费表'!B19/2+'数据-取费表'!B21))-1)),0)</f>
        <v>0</v>
      </c>
      <c r="D24" s="439"/>
      <c r="E24" s="439"/>
      <c r="F24" s="440"/>
      <c r="G24" s="441" t="s">
        <v>2143</v>
      </c>
    </row>
    <row r="25" s="383" customFormat="1" ht="26" spans="1:7">
      <c r="A25" s="437" t="s">
        <v>992</v>
      </c>
      <c r="B25" s="407" t="s">
        <v>2144</v>
      </c>
      <c r="C25" s="438">
        <f ca="1">ROUND(IF('数据-取费表'!B22&lt;=1,C20*F22*'数据-取费表'!B23/2,C20*(POWER((1+F22),'数据-取费表'!B23/2)-1)),0)</f>
        <v>0</v>
      </c>
      <c r="D25" s="439"/>
      <c r="E25" s="442"/>
      <c r="F25" s="440"/>
      <c r="G25" s="443" t="s">
        <v>2145</v>
      </c>
    </row>
    <row r="26" s="383" customFormat="1" ht="13" spans="1:7">
      <c r="A26" s="437" t="s">
        <v>1032</v>
      </c>
      <c r="B26" s="407" t="s">
        <v>2146</v>
      </c>
      <c r="C26" s="439">
        <f ca="1">ROUND(IF('数据-取费表'!B22&lt;=1,F21*F22*'数据-取费表'!B23/2,F21*(POWER((1+F22),'数据-取费表'!B23/2)-1)),4)</f>
        <v>0</v>
      </c>
      <c r="D26" s="439"/>
      <c r="E26" s="442"/>
      <c r="F26" s="440"/>
      <c r="G26" s="444"/>
    </row>
    <row r="27" s="383" customFormat="1" ht="26" spans="1:7">
      <c r="A27" s="426" t="s">
        <v>1743</v>
      </c>
      <c r="B27" s="445" t="s">
        <v>2147</v>
      </c>
      <c r="C27" s="446" t="e">
        <f>C28</f>
        <v>#DIV/0!</v>
      </c>
      <c r="D27" s="432" t="e">
        <f>C29</f>
        <v>#DIV/0!</v>
      </c>
      <c r="E27" s="433" t="s">
        <v>2137</v>
      </c>
      <c r="F27" s="447" t="e">
        <f>'数据-取费表'!Q16</f>
        <v>#DIV/0!</v>
      </c>
      <c r="G27" s="448" t="s">
        <v>2148</v>
      </c>
    </row>
    <row r="28" s="383" customFormat="1" ht="13.5" customHeight="1" spans="1:7">
      <c r="A28" s="437" t="s">
        <v>988</v>
      </c>
      <c r="B28" s="449" t="s">
        <v>2149</v>
      </c>
      <c r="C28" s="450" t="e">
        <f>ROUND((C5+C19+C20)*F27*'数据-取费表'!B21/'数据-取费表'!B20,0)</f>
        <v>#DIV/0!</v>
      </c>
      <c r="D28" s="432"/>
      <c r="E28" s="433"/>
      <c r="F28" s="447"/>
      <c r="G28" s="448"/>
    </row>
    <row r="29" s="383" customFormat="1" ht="13.5" customHeight="1" spans="1:7">
      <c r="A29" s="437" t="s">
        <v>990</v>
      </c>
      <c r="B29" s="449" t="s">
        <v>2150</v>
      </c>
      <c r="C29" s="439" t="e">
        <f>ROUND(C21*F27*'数据-取费表'!B21/'数据-取费表'!B20,4)</f>
        <v>#DIV/0!</v>
      </c>
      <c r="D29" s="432"/>
      <c r="E29" s="433"/>
      <c r="F29" s="447"/>
      <c r="G29" s="448"/>
    </row>
    <row r="30" s="383" customFormat="1" ht="13.5" customHeight="1" spans="1:7">
      <c r="A30" s="426" t="s">
        <v>2151</v>
      </c>
      <c r="B30" s="402" t="s">
        <v>2152</v>
      </c>
      <c r="C30" s="432">
        <f>F30</f>
        <v>0</v>
      </c>
      <c r="D30" s="433" t="s">
        <v>2153</v>
      </c>
      <c r="E30" s="442"/>
      <c r="F30" s="436">
        <f>'数据-取费表'!B41</f>
        <v>0</v>
      </c>
      <c r="G30" s="434" t="s">
        <v>2154</v>
      </c>
    </row>
    <row r="31" ht="16.5" customHeight="1" spans="1:7">
      <c r="A31" s="451">
        <v>1</v>
      </c>
      <c r="B31" s="402" t="s">
        <v>2155</v>
      </c>
      <c r="C31" s="403" t="e">
        <f ca="1">ROUND((C5+C19+C20+C22+C27)/(1-C21-D22-D27-C30/(1+'数据-取费表'!B42)),0)</f>
        <v>#DIV/0!</v>
      </c>
      <c r="D31" s="452"/>
      <c r="E31" s="403"/>
      <c r="F31" s="453"/>
      <c r="G31" s="434" t="s">
        <v>2156</v>
      </c>
    </row>
    <row r="32" s="382" customFormat="1" ht="15.5" spans="1:7">
      <c r="A32" s="454" t="s">
        <v>2157</v>
      </c>
      <c r="B32" s="455"/>
      <c r="C32" s="455"/>
      <c r="D32" s="455"/>
      <c r="E32" s="455"/>
      <c r="F32" s="455"/>
      <c r="G32" s="456"/>
    </row>
    <row r="33" s="383" customFormat="1" ht="13.5" customHeight="1" spans="1:7">
      <c r="A33" s="401" t="s">
        <v>984</v>
      </c>
      <c r="B33" s="402" t="s">
        <v>2158</v>
      </c>
      <c r="C33" s="457">
        <f>SUM(C34:C38)</f>
        <v>0</v>
      </c>
      <c r="D33" s="429"/>
      <c r="E33" s="404"/>
      <c r="F33" s="442"/>
      <c r="G33" s="434"/>
    </row>
    <row r="34" s="385" customFormat="1" ht="13.5" customHeight="1" spans="1:7">
      <c r="A34" s="437" t="s">
        <v>988</v>
      </c>
      <c r="B34" s="407" t="s">
        <v>2159</v>
      </c>
      <c r="C34" s="412">
        <f>IF(F34=100%,'数据-取费表'!M16-SUMIF('数据-取费表'!C:C,"公共配套",'数据-取费表'!M:M),'数据-取费表'!O16-SUMIF('数据-取费表'!C:C,"公共配套",'数据-取费表'!O:O))</f>
        <v>0</v>
      </c>
      <c r="D34" s="409"/>
      <c r="E34" s="412"/>
      <c r="F34" s="458">
        <f>IF('数据-取费表'!B24=0,1,'数据-取费表'!N16)</f>
        <v>1</v>
      </c>
      <c r="G34" s="411" t="s">
        <v>2160</v>
      </c>
    </row>
    <row r="35" ht="13.5" customHeight="1" spans="1:7">
      <c r="A35" s="437" t="s">
        <v>990</v>
      </c>
      <c r="B35" s="407" t="s">
        <v>2161</v>
      </c>
      <c r="C35" s="412">
        <f>ROUND(C34*F35,0)</f>
        <v>0</v>
      </c>
      <c r="D35" s="412"/>
      <c r="E35" s="412"/>
      <c r="F35" s="459">
        <f>'数据-取费表'!B33</f>
        <v>0</v>
      </c>
      <c r="G35" s="411" t="s">
        <v>2162</v>
      </c>
    </row>
    <row r="36" ht="26" spans="1:7">
      <c r="A36" s="437" t="s">
        <v>992</v>
      </c>
      <c r="B36" s="407" t="s">
        <v>2163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2164</v>
      </c>
    </row>
    <row r="37" s="385" customFormat="1" ht="13.5" customHeight="1" spans="1:7">
      <c r="A37" s="437" t="s">
        <v>1032</v>
      </c>
      <c r="B37" s="407" t="s">
        <v>2165</v>
      </c>
      <c r="C37" s="450">
        <f>ROUND(E37*D37*F34/10000,0)</f>
        <v>0</v>
      </c>
      <c r="D37" s="409">
        <f>'数据-汇总表'!E3</f>
        <v>0</v>
      </c>
      <c r="E37" s="450">
        <f>'数据-取费表'!B35</f>
        <v>0</v>
      </c>
      <c r="F37" s="459"/>
      <c r="G37" s="461" t="s">
        <v>2166</v>
      </c>
    </row>
    <row r="38" ht="13.5" customHeight="1" spans="1:7">
      <c r="A38" s="437" t="s">
        <v>1054</v>
      </c>
      <c r="B38" s="407" t="s">
        <v>2124</v>
      </c>
      <c r="C38" s="412">
        <f>ROUND(C34*F38,0)</f>
        <v>0</v>
      </c>
      <c r="D38" s="412"/>
      <c r="E38" s="412"/>
      <c r="F38" s="459">
        <f>'数据-取费表'!B36</f>
        <v>0</v>
      </c>
      <c r="G38" s="411" t="s">
        <v>2162</v>
      </c>
    </row>
    <row r="39" s="383" customFormat="1" ht="13.5" customHeight="1" spans="1:7">
      <c r="A39" s="426" t="s">
        <v>1684</v>
      </c>
      <c r="B39" s="402" t="s">
        <v>2134</v>
      </c>
      <c r="C39" s="429">
        <f>ROUND(C33*F20,0)</f>
        <v>0</v>
      </c>
      <c r="D39" s="429"/>
      <c r="E39" s="429"/>
      <c r="F39" s="430"/>
      <c r="G39" s="431" t="s">
        <v>2167</v>
      </c>
    </row>
    <row r="40" s="383" customFormat="1" ht="13.5" customHeight="1" spans="1:7">
      <c r="A40" s="426" t="s">
        <v>1720</v>
      </c>
      <c r="B40" s="402" t="s">
        <v>2136</v>
      </c>
      <c r="C40" s="462">
        <f>F21</f>
        <v>0</v>
      </c>
      <c r="D40" s="433" t="s">
        <v>2168</v>
      </c>
      <c r="E40" s="429"/>
      <c r="F40" s="430"/>
      <c r="G40" s="434" t="s">
        <v>2169</v>
      </c>
    </row>
    <row r="41" s="383" customFormat="1" ht="13.5" customHeight="1" spans="1:7">
      <c r="A41" s="426" t="s">
        <v>1725</v>
      </c>
      <c r="B41" s="402" t="s">
        <v>2139</v>
      </c>
      <c r="C41" s="429">
        <f ca="1">ROUND(SUM(C42:C43),0)</f>
        <v>0</v>
      </c>
      <c r="D41" s="432">
        <f ca="1">C44</f>
        <v>0</v>
      </c>
      <c r="E41" s="433" t="s">
        <v>2168</v>
      </c>
      <c r="F41" s="436"/>
      <c r="G41" s="431" t="str">
        <f>IF('数据-取费表'!B22&lt;=1,"单利计息","复利计息")</f>
        <v>单利计息</v>
      </c>
    </row>
    <row r="42" ht="13.5" customHeight="1" spans="1:7">
      <c r="A42" s="437" t="s">
        <v>988</v>
      </c>
      <c r="B42" s="407" t="s">
        <v>2140</v>
      </c>
      <c r="C42" s="439">
        <f ca="1">ROUND(IF('数据-取费表'!B22&lt;=1,C33*F22*'数据-取费表'!B21/2,C33*(POWER((1+F22),'数据-取费表'!B21/2)-1)),0)</f>
        <v>0</v>
      </c>
      <c r="D42" s="439"/>
      <c r="E42" s="439"/>
      <c r="F42" s="440"/>
      <c r="G42" s="463" t="s">
        <v>2170</v>
      </c>
    </row>
    <row r="43" ht="13.5" customHeight="1" spans="1:7">
      <c r="A43" s="437" t="s">
        <v>990</v>
      </c>
      <c r="B43" s="407" t="s">
        <v>2142</v>
      </c>
      <c r="C43" s="439">
        <f ca="1">ROUND(IF('数据-取费表'!B22&lt;=1,C39*F22*'数据-取费表'!B21/2,C39*(POWER((1+F22),'数据-取费表'!B21/2)-1)),0)</f>
        <v>0</v>
      </c>
      <c r="D43" s="439"/>
      <c r="E43" s="439"/>
      <c r="F43" s="440"/>
      <c r="G43" s="464"/>
    </row>
    <row r="44" ht="13.5" customHeight="1" spans="1:7">
      <c r="A44" s="437" t="s">
        <v>992</v>
      </c>
      <c r="B44" s="407" t="s">
        <v>2144</v>
      </c>
      <c r="C44" s="439">
        <f ca="1">ROUND(IF('数据-取费表'!B22&lt;=1,C40*F22*'数据-取费表'!B21/2,C40*(POWER((1+F22),'数据-取费表'!B21/2)-1)),4)</f>
        <v>0</v>
      </c>
      <c r="D44" s="439"/>
      <c r="E44" s="439"/>
      <c r="F44" s="440"/>
      <c r="G44" s="465"/>
    </row>
    <row r="45" s="383" customFormat="1" ht="13.5" customHeight="1" spans="1:7">
      <c r="A45" s="426" t="s">
        <v>1734</v>
      </c>
      <c r="B45" s="445" t="s">
        <v>2147</v>
      </c>
      <c r="C45" s="446" t="e">
        <f>C46</f>
        <v>#DIV/0!</v>
      </c>
      <c r="D45" s="432" t="e">
        <f>C47</f>
        <v>#DIV/0!</v>
      </c>
      <c r="E45" s="433" t="s">
        <v>2168</v>
      </c>
      <c r="F45" s="447"/>
      <c r="G45" s="448" t="s">
        <v>2171</v>
      </c>
    </row>
    <row r="46" s="383" customFormat="1" ht="13.5" customHeight="1" spans="1:7">
      <c r="A46" s="437" t="s">
        <v>988</v>
      </c>
      <c r="B46" s="449" t="s">
        <v>2172</v>
      </c>
      <c r="C46" s="450" t="e">
        <f>ROUND((C33+C39)*F27,0)</f>
        <v>#DIV/0!</v>
      </c>
      <c r="D46" s="466"/>
      <c r="E46" s="433"/>
      <c r="F46" s="447"/>
      <c r="G46" s="448"/>
    </row>
    <row r="47" s="383" customFormat="1" ht="13.5" customHeight="1" spans="1:7">
      <c r="A47" s="437" t="s">
        <v>990</v>
      </c>
      <c r="B47" s="449" t="s">
        <v>2173</v>
      </c>
      <c r="C47" s="439" t="e">
        <f>ROUND(C40*F27,4)</f>
        <v>#DIV/0!</v>
      </c>
      <c r="D47" s="466"/>
      <c r="E47" s="433"/>
      <c r="F47" s="447"/>
      <c r="G47" s="448"/>
    </row>
    <row r="48" s="383" customFormat="1" ht="13.5" customHeight="1" spans="1:7">
      <c r="A48" s="426" t="s">
        <v>1743</v>
      </c>
      <c r="B48" s="402" t="s">
        <v>2152</v>
      </c>
      <c r="C48" s="462">
        <f>F30</f>
        <v>0</v>
      </c>
      <c r="D48" s="433" t="s">
        <v>2174</v>
      </c>
      <c r="E48" s="429"/>
      <c r="F48" s="436"/>
      <c r="G48" s="434" t="s">
        <v>2175</v>
      </c>
    </row>
    <row r="49" ht="16.5" customHeight="1" spans="1:7">
      <c r="A49" s="426" t="s">
        <v>2151</v>
      </c>
      <c r="B49" s="402" t="s">
        <v>2176</v>
      </c>
      <c r="C49" s="429" t="e">
        <f ca="1">ROUND((C33+C39+C41+C45)/(1-C40-D41-D45-C48/(1+'数据-取费表'!B42)),0)</f>
        <v>#DIV/0!</v>
      </c>
      <c r="D49" s="429"/>
      <c r="E49" s="429"/>
      <c r="F49" s="467"/>
      <c r="G49" s="434" t="s">
        <v>2177</v>
      </c>
    </row>
    <row r="50" s="385" customFormat="1" ht="26" spans="1:7">
      <c r="A50" s="426" t="s">
        <v>2178</v>
      </c>
      <c r="B50" s="402" t="s">
        <v>2179</v>
      </c>
      <c r="C50" s="429"/>
      <c r="D50" s="429"/>
      <c r="E50" s="429"/>
      <c r="F50" s="467" t="e">
        <f>IF('数据-取费表'!B24=0,'数据-取费表'!N16,1)</f>
        <v>#DIV/0!</v>
      </c>
      <c r="G50" s="448" t="s">
        <v>2180</v>
      </c>
    </row>
    <row r="51" ht="16.5" customHeight="1" spans="1:7">
      <c r="A51" s="426" t="s">
        <v>2181</v>
      </c>
      <c r="B51" s="402" t="s">
        <v>2182</v>
      </c>
      <c r="C51" s="429" t="e">
        <f ca="1">ROUND(C49*F50,0)</f>
        <v>#DIV/0!</v>
      </c>
      <c r="D51" s="429"/>
      <c r="E51" s="429"/>
      <c r="F51" s="467"/>
      <c r="G51" s="434" t="s">
        <v>2183</v>
      </c>
    </row>
    <row r="52" s="382" customFormat="1" ht="16.25" spans="1:7">
      <c r="A52" s="468" t="s">
        <v>2184</v>
      </c>
      <c r="B52" s="469"/>
      <c r="C52" s="470" t="e">
        <f ca="1">C31+C51</f>
        <v>#DIV/0!</v>
      </c>
      <c r="D52" s="469"/>
      <c r="E52" s="469"/>
      <c r="F52" s="469"/>
      <c r="G52" s="471"/>
    </row>
    <row r="55" ht="15.5" spans="2:3">
      <c r="B55" s="472" t="s">
        <v>2185</v>
      </c>
      <c r="C55" s="473"/>
    </row>
    <row r="56" ht="13" spans="2:3">
      <c r="B56" s="474" t="s">
        <v>2186</v>
      </c>
      <c r="C56" s="475" t="e">
        <f ca="1">ROUND(C51/C52,3)</f>
        <v>#DIV/0!</v>
      </c>
    </row>
    <row r="57" ht="13" spans="2:3">
      <c r="B57" s="474" t="s">
        <v>2187</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1" customWidth="1"/>
    <col min="2" max="2" width="37.2545454545455" style="3631" customWidth="1"/>
    <col min="3" max="3" width="11.3727272727273" style="3631" customWidth="1"/>
    <col min="4" max="4" width="31.7545454545455" style="3631" customWidth="1"/>
    <col min="5" max="5" width="0.5" style="3631" customWidth="1"/>
    <col min="6" max="7" width="13" style="3631" customWidth="1"/>
    <col min="8" max="16384" width="9" style="3631"/>
  </cols>
  <sheetData>
    <row r="1" ht="1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8.75" spans="1:5">
      <c r="A4" s="3635"/>
      <c r="B4" s="3636" t="s">
        <v>95</v>
      </c>
      <c r="C4" s="3636"/>
      <c r="D4" s="3636"/>
      <c r="E4" s="3635"/>
    </row>
    <row r="5" ht="16.25" spans="1:5">
      <c r="A5" s="3633"/>
      <c r="B5" s="3637" t="s">
        <v>96</v>
      </c>
      <c r="C5" s="3638" t="s">
        <v>97</v>
      </c>
      <c r="D5" s="3639">
        <f ca="1">结果表!H101</f>
        <v>0</v>
      </c>
      <c r="E5" s="3633"/>
    </row>
    <row r="6" ht="15" spans="1:5">
      <c r="A6" s="3633"/>
      <c r="B6" s="3637"/>
      <c r="C6" s="3638" t="s">
        <v>98</v>
      </c>
      <c r="D6" s="3639" t="str">
        <f ca="1">NUMBERSTRING(INT(D5*10000),2)&amp;"元整"</f>
        <v>零元整</v>
      </c>
      <c r="E6" s="3633"/>
    </row>
    <row r="7" ht="15.5" spans="1:5">
      <c r="A7" s="3633"/>
      <c r="B7" s="3640"/>
      <c r="C7" s="3641" t="s">
        <v>99</v>
      </c>
      <c r="D7" s="3642">
        <f ca="1">结果表!H102</f>
        <v>17000</v>
      </c>
      <c r="E7" s="3633"/>
    </row>
    <row r="8" ht="15.5" spans="1:5">
      <c r="A8" s="3633"/>
      <c r="B8" s="3643" t="str">
        <f>结果表!E103</f>
        <v>2.估价师知悉的法定优先受偿款</v>
      </c>
      <c r="C8" s="3644" t="s">
        <v>100</v>
      </c>
      <c r="D8" s="3642">
        <f>结果表!H103</f>
        <v>0</v>
      </c>
      <c r="E8" s="3633"/>
    </row>
    <row r="9" ht="15" spans="1:5">
      <c r="A9" s="3633"/>
      <c r="B9" s="3645"/>
      <c r="C9" s="3638" t="s">
        <v>98</v>
      </c>
      <c r="D9" s="3639" t="str">
        <f>NUMBERSTRING(INT(D8*10000),2)&amp;"元整"</f>
        <v>零元整</v>
      </c>
      <c r="E9" s="3633"/>
    </row>
    <row r="10" ht="15.5" spans="1:5">
      <c r="A10" s="3633"/>
      <c r="B10" s="3646" t="s">
        <v>101</v>
      </c>
      <c r="C10" s="3647" t="s">
        <v>102</v>
      </c>
      <c r="D10" s="3648">
        <f>结果表!H104</f>
        <v>0</v>
      </c>
      <c r="E10" s="3633"/>
    </row>
    <row r="11" ht="15.5" spans="1:5">
      <c r="A11" s="3633"/>
      <c r="B11" s="3646" t="s">
        <v>103</v>
      </c>
      <c r="C11" s="3647" t="s">
        <v>102</v>
      </c>
      <c r="D11" s="3648">
        <f>结果表!H105</f>
        <v>0</v>
      </c>
      <c r="E11" s="3633"/>
    </row>
    <row r="12" ht="15.5" spans="1:5">
      <c r="A12" s="3633"/>
      <c r="B12" s="3646" t="s">
        <v>104</v>
      </c>
      <c r="C12" s="3647" t="s">
        <v>102</v>
      </c>
      <c r="D12" s="3648">
        <f>结果表!H106</f>
        <v>0</v>
      </c>
      <c r="E12" s="3633"/>
    </row>
    <row r="13" ht="15.5" spans="1:5">
      <c r="A13" s="3633"/>
      <c r="B13" s="3649" t="str">
        <f>结果表!E107</f>
        <v>3.房地产抵押价值</v>
      </c>
      <c r="C13" s="3650" t="s">
        <v>97</v>
      </c>
      <c r="D13" s="3651">
        <f ca="1">结果表!H107</f>
        <v>0</v>
      </c>
      <c r="E13" s="3633"/>
    </row>
    <row r="14" ht="15" spans="1:5">
      <c r="A14" s="3633"/>
      <c r="B14" s="3637"/>
      <c r="C14" s="3638" t="s">
        <v>98</v>
      </c>
      <c r="D14" s="3639" t="str">
        <f ca="1">NUMBERSTRING(INT(D13*10000),2)&amp;"元整"</f>
        <v>零元整</v>
      </c>
      <c r="E14" s="3633"/>
    </row>
    <row r="15" ht="15.5" spans="1:5">
      <c r="A15" s="3633"/>
      <c r="B15" s="3640"/>
      <c r="C15" s="3641" t="s">
        <v>99</v>
      </c>
      <c r="D15" s="3652">
        <f ca="1">结果表!H108</f>
        <v>17000</v>
      </c>
      <c r="E15" s="3633"/>
    </row>
    <row r="16" ht="15" spans="1:5">
      <c r="A16" s="3633"/>
      <c r="B16" s="3643" t="str">
        <f>结果表!E109</f>
        <v>——</v>
      </c>
      <c r="C16" s="3650" t="s">
        <v>97</v>
      </c>
      <c r="D16" s="3653" t="str">
        <f ca="1">结果表!H109</f>
        <v>——</v>
      </c>
      <c r="E16" s="3633"/>
    </row>
    <row r="17" ht="15.5" spans="1:5">
      <c r="A17" s="3633"/>
      <c r="B17" s="3654"/>
      <c r="C17" s="3638" t="s">
        <v>98</v>
      </c>
      <c r="D17" s="3639" t="e">
        <f ca="1">NUMBERSTRING(INT(D16*10000),2)&amp;"元整"</f>
        <v>#VALUE!</v>
      </c>
      <c r="E17" s="3633"/>
    </row>
    <row r="18" ht="15.5" spans="1:5">
      <c r="A18" s="3633"/>
      <c r="B18" s="3645"/>
      <c r="C18" s="3641" t="s">
        <v>99</v>
      </c>
      <c r="D18" s="3652" t="str">
        <f ca="1">结果表!H110</f>
        <v>——</v>
      </c>
      <c r="E18" s="3633"/>
    </row>
    <row r="19" ht="15.5" spans="1:5">
      <c r="A19" s="3633"/>
      <c r="B19" s="3649" t="str">
        <f>结果表!E111</f>
        <v>——</v>
      </c>
      <c r="C19" s="3650" t="s">
        <v>97</v>
      </c>
      <c r="D19" s="3642" t="str">
        <f ca="1">结果表!H111</f>
        <v>——</v>
      </c>
      <c r="E19" s="3633"/>
    </row>
    <row r="20" ht="15.5" spans="1:5">
      <c r="A20" s="3633"/>
      <c r="B20" s="3637"/>
      <c r="C20" s="3638" t="s">
        <v>98</v>
      </c>
      <c r="D20" s="3639" t="e">
        <f ca="1">NUMBERSTRING(INT(D19*10000),2)&amp;"元整"</f>
        <v>#VALUE!</v>
      </c>
      <c r="E20" s="3633"/>
    </row>
    <row r="21" ht="16.25" spans="1:5">
      <c r="A21" s="3633"/>
      <c r="B21" s="3655"/>
      <c r="C21" s="3656" t="s">
        <v>99</v>
      </c>
      <c r="D21" s="3657" t="str">
        <f ca="1">结果表!H112</f>
        <v>——</v>
      </c>
      <c r="E21" s="3633"/>
    </row>
    <row r="22" ht="14.75" spans="1:5">
      <c r="A22" s="3633"/>
      <c r="B22" s="3658" t="s">
        <v>105</v>
      </c>
      <c r="C22" s="3633"/>
      <c r="D22" s="3633"/>
      <c r="E22" s="3633"/>
    </row>
    <row r="23" spans="1:5">
      <c r="A23" s="3633"/>
      <c r="B23" s="3633"/>
      <c r="C23" s="3633"/>
      <c r="D23" s="3633"/>
      <c r="E23" s="3633"/>
    </row>
    <row r="24" ht="1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K3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2188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2189</v>
      </c>
      <c r="B2" s="351"/>
      <c r="C2" s="351"/>
      <c r="D2" s="351"/>
      <c r="E2" s="351"/>
      <c r="F2" s="351"/>
      <c r="G2" s="352" t="s">
        <v>2190</v>
      </c>
      <c r="I2" s="361" t="s">
        <v>2191</v>
      </c>
      <c r="J2" s="361" t="s">
        <v>2192</v>
      </c>
      <c r="K2" s="361" t="s">
        <v>2193</v>
      </c>
      <c r="L2" s="361" t="s">
        <v>2194</v>
      </c>
      <c r="M2" s="361" t="s">
        <v>2195</v>
      </c>
      <c r="N2" s="361" t="s">
        <v>2196</v>
      </c>
      <c r="O2" s="361" t="s">
        <v>2197</v>
      </c>
      <c r="P2" s="361" t="s">
        <v>2198</v>
      </c>
      <c r="Q2" s="361" t="s">
        <v>2199</v>
      </c>
      <c r="R2" s="361" t="s">
        <v>2200</v>
      </c>
      <c r="S2" s="361" t="s">
        <v>2201</v>
      </c>
      <c r="T2" s="361" t="s">
        <v>2202</v>
      </c>
    </row>
    <row r="3" s="346" customFormat="1" spans="1:20">
      <c r="A3" s="353" t="s">
        <v>2203</v>
      </c>
      <c r="B3" s="354"/>
      <c r="C3" s="355" t="s">
        <v>1863</v>
      </c>
      <c r="D3" s="355" t="s">
        <v>1864</v>
      </c>
      <c r="E3" s="355" t="s">
        <v>412</v>
      </c>
      <c r="F3" s="355" t="s">
        <v>408</v>
      </c>
      <c r="G3" s="355" t="s">
        <v>280</v>
      </c>
      <c r="H3" s="356"/>
      <c r="I3" s="362" t="s">
        <v>2204</v>
      </c>
      <c r="J3" s="363" t="s">
        <v>2205</v>
      </c>
      <c r="K3" s="363" t="s">
        <v>2206</v>
      </c>
      <c r="L3" s="362" t="s">
        <v>2207</v>
      </c>
      <c r="M3" s="362" t="s">
        <v>2208</v>
      </c>
      <c r="N3" s="362" t="s">
        <v>2209</v>
      </c>
      <c r="O3" s="362" t="s">
        <v>2210</v>
      </c>
      <c r="P3" s="362" t="s">
        <v>2211</v>
      </c>
      <c r="Q3" s="362" t="s">
        <v>2212</v>
      </c>
      <c r="R3" s="362" t="s">
        <v>2213</v>
      </c>
      <c r="S3" s="362" t="s">
        <v>2214</v>
      </c>
      <c r="T3" s="362" t="s">
        <v>2215</v>
      </c>
    </row>
    <row r="4" s="346" customFormat="1" ht="12.75" spans="1:20">
      <c r="A4" s="357"/>
      <c r="B4" s="358" t="s">
        <v>2216</v>
      </c>
      <c r="C4" s="358" t="s">
        <v>2217</v>
      </c>
      <c r="D4" s="358" t="s">
        <v>2217</v>
      </c>
      <c r="E4" s="358" t="s">
        <v>2217</v>
      </c>
      <c r="F4" s="359" t="s">
        <v>2217</v>
      </c>
      <c r="G4" s="359" t="s">
        <v>2217</v>
      </c>
      <c r="H4" s="356"/>
      <c r="I4" s="363" t="s">
        <v>2218</v>
      </c>
      <c r="J4" s="363" t="s">
        <v>2219</v>
      </c>
      <c r="K4" s="363" t="s">
        <v>2220</v>
      </c>
      <c r="L4" s="362" t="s">
        <v>2221</v>
      </c>
      <c r="M4" s="362" t="s">
        <v>2222</v>
      </c>
      <c r="N4" s="362" t="s">
        <v>2223</v>
      </c>
      <c r="O4" s="362" t="s">
        <v>2224</v>
      </c>
      <c r="P4" s="362" t="s">
        <v>2225</v>
      </c>
      <c r="Q4" s="362" t="s">
        <v>2226</v>
      </c>
      <c r="R4" s="362" t="s">
        <v>2227</v>
      </c>
      <c r="S4" s="362" t="s">
        <v>2228</v>
      </c>
      <c r="T4" s="362" t="s">
        <v>2229</v>
      </c>
    </row>
    <row r="5" spans="1:20">
      <c r="A5" s="360" t="s">
        <v>230</v>
      </c>
      <c r="B5" s="361" t="s">
        <v>2191</v>
      </c>
      <c r="C5" s="361">
        <v>34550</v>
      </c>
      <c r="D5" s="361">
        <v>34470</v>
      </c>
      <c r="E5" s="361">
        <v>34330</v>
      </c>
      <c r="F5" s="361">
        <v>13400</v>
      </c>
      <c r="G5" s="361">
        <v>25450</v>
      </c>
      <c r="H5" s="356"/>
      <c r="I5" s="362" t="s">
        <v>2230</v>
      </c>
      <c r="J5" s="363" t="s">
        <v>2231</v>
      </c>
      <c r="K5" s="363" t="s">
        <v>2232</v>
      </c>
      <c r="L5" s="362" t="s">
        <v>2233</v>
      </c>
      <c r="M5" s="362" t="s">
        <v>2234</v>
      </c>
      <c r="N5" s="362" t="s">
        <v>2235</v>
      </c>
      <c r="O5" s="362" t="s">
        <v>2236</v>
      </c>
      <c r="P5" s="362" t="s">
        <v>2237</v>
      </c>
      <c r="Q5" s="362" t="s">
        <v>2238</v>
      </c>
      <c r="R5" s="362" t="s">
        <v>2239</v>
      </c>
      <c r="S5" s="362" t="s">
        <v>2240</v>
      </c>
      <c r="T5" s="362" t="s">
        <v>2241</v>
      </c>
    </row>
    <row r="6" ht="12.75" spans="1:20">
      <c r="A6" s="362" t="s">
        <v>230</v>
      </c>
      <c r="B6" s="362" t="s">
        <v>2204</v>
      </c>
      <c r="C6" s="362">
        <v>36990</v>
      </c>
      <c r="D6" s="362">
        <v>36850</v>
      </c>
      <c r="E6" s="362">
        <v>36700</v>
      </c>
      <c r="F6" s="362">
        <v>14590</v>
      </c>
      <c r="G6" s="362">
        <v>27450</v>
      </c>
      <c r="H6" s="356"/>
      <c r="I6" s="365" t="s">
        <v>2242</v>
      </c>
      <c r="J6" s="363" t="s">
        <v>2243</v>
      </c>
      <c r="K6" s="363" t="s">
        <v>2244</v>
      </c>
      <c r="L6" s="362" t="s">
        <v>2245</v>
      </c>
      <c r="M6" s="362" t="s">
        <v>2246</v>
      </c>
      <c r="N6" s="362" t="s">
        <v>2247</v>
      </c>
      <c r="O6" s="362" t="s">
        <v>2248</v>
      </c>
      <c r="P6" s="362" t="s">
        <v>2249</v>
      </c>
      <c r="Q6" s="362" t="s">
        <v>2250</v>
      </c>
      <c r="R6" s="362" t="s">
        <v>2251</v>
      </c>
      <c r="S6" s="362" t="s">
        <v>2252</v>
      </c>
      <c r="T6" s="362" t="s">
        <v>2253</v>
      </c>
    </row>
    <row r="7" spans="1:20">
      <c r="A7" s="362" t="s">
        <v>230</v>
      </c>
      <c r="B7" s="363" t="s">
        <v>2218</v>
      </c>
      <c r="C7" s="362">
        <v>34850</v>
      </c>
      <c r="D7" s="362">
        <v>34690</v>
      </c>
      <c r="E7" s="362">
        <v>34550</v>
      </c>
      <c r="F7" s="362">
        <v>14360</v>
      </c>
      <c r="G7" s="362">
        <v>25620</v>
      </c>
      <c r="H7" s="356"/>
      <c r="J7" s="363" t="s">
        <v>2254</v>
      </c>
      <c r="K7" s="363" t="s">
        <v>2255</v>
      </c>
      <c r="L7" s="362" t="s">
        <v>2256</v>
      </c>
      <c r="M7" s="362" t="s">
        <v>2257</v>
      </c>
      <c r="N7" s="362" t="s">
        <v>2258</v>
      </c>
      <c r="O7" s="362" t="s">
        <v>2259</v>
      </c>
      <c r="P7" s="362" t="s">
        <v>2260</v>
      </c>
      <c r="Q7" s="362" t="s">
        <v>2261</v>
      </c>
      <c r="R7" s="362" t="s">
        <v>2262</v>
      </c>
      <c r="S7" s="362" t="s">
        <v>2263</v>
      </c>
      <c r="T7" s="362" t="s">
        <v>2264</v>
      </c>
    </row>
    <row r="8" ht="12.75" spans="1:20">
      <c r="A8" s="362" t="s">
        <v>230</v>
      </c>
      <c r="B8" s="362" t="s">
        <v>2230</v>
      </c>
      <c r="C8" s="362">
        <v>32630</v>
      </c>
      <c r="D8" s="362">
        <v>32510</v>
      </c>
      <c r="E8" s="362">
        <v>32420</v>
      </c>
      <c r="F8" s="362">
        <v>13300</v>
      </c>
      <c r="G8" s="362">
        <v>24010</v>
      </c>
      <c r="H8" s="356"/>
      <c r="J8" s="363" t="s">
        <v>2265</v>
      </c>
      <c r="K8" s="363" t="s">
        <v>2266</v>
      </c>
      <c r="L8" s="362" t="s">
        <v>2267</v>
      </c>
      <c r="M8" s="362" t="s">
        <v>2268</v>
      </c>
      <c r="N8" s="362" t="s">
        <v>2269</v>
      </c>
      <c r="O8" s="362" t="s">
        <v>2270</v>
      </c>
      <c r="P8" s="362" t="s">
        <v>2271</v>
      </c>
      <c r="Q8" s="362" t="s">
        <v>2272</v>
      </c>
      <c r="R8" s="362" t="s">
        <v>2273</v>
      </c>
      <c r="S8" s="362" t="s">
        <v>2274</v>
      </c>
      <c r="T8" s="366" t="s">
        <v>2275</v>
      </c>
    </row>
    <row r="9" ht="12.75" spans="1:19">
      <c r="A9" s="364" t="s">
        <v>230</v>
      </c>
      <c r="B9" s="365" t="s">
        <v>2242</v>
      </c>
      <c r="C9" s="366">
        <v>36370</v>
      </c>
      <c r="D9" s="366">
        <v>36210</v>
      </c>
      <c r="E9" s="366">
        <v>36050</v>
      </c>
      <c r="F9" s="366"/>
      <c r="G9" s="366">
        <v>26740</v>
      </c>
      <c r="H9" s="356"/>
      <c r="J9" s="363" t="s">
        <v>2276</v>
      </c>
      <c r="K9" s="363" t="s">
        <v>2277</v>
      </c>
      <c r="L9" s="362" t="s">
        <v>2278</v>
      </c>
      <c r="M9" s="362" t="s">
        <v>2279</v>
      </c>
      <c r="N9" s="362" t="s">
        <v>2280</v>
      </c>
      <c r="O9" s="362" t="s">
        <v>2281</v>
      </c>
      <c r="P9" s="362" t="s">
        <v>2282</v>
      </c>
      <c r="Q9" s="362" t="s">
        <v>2283</v>
      </c>
      <c r="R9" s="362" t="s">
        <v>2284</v>
      </c>
      <c r="S9" s="362" t="s">
        <v>2285</v>
      </c>
    </row>
    <row r="10" spans="1:19">
      <c r="A10" s="360" t="s">
        <v>241</v>
      </c>
      <c r="B10" s="361" t="s">
        <v>2192</v>
      </c>
      <c r="C10" s="362">
        <v>32350</v>
      </c>
      <c r="D10" s="362">
        <v>31430</v>
      </c>
      <c r="E10" s="362">
        <v>31320</v>
      </c>
      <c r="F10" s="362">
        <v>10850</v>
      </c>
      <c r="G10" s="362">
        <v>22860</v>
      </c>
      <c r="H10" s="356"/>
      <c r="J10" s="363" t="s">
        <v>2286</v>
      </c>
      <c r="K10" s="363" t="s">
        <v>2287</v>
      </c>
      <c r="L10" s="362" t="s">
        <v>2288</v>
      </c>
      <c r="M10" s="362" t="s">
        <v>2289</v>
      </c>
      <c r="N10" s="362" t="s">
        <v>2290</v>
      </c>
      <c r="O10" s="362" t="s">
        <v>2291</v>
      </c>
      <c r="P10" s="362" t="s">
        <v>2292</v>
      </c>
      <c r="Q10" s="362" t="s">
        <v>2293</v>
      </c>
      <c r="R10" s="362" t="s">
        <v>2294</v>
      </c>
      <c r="S10" s="362" t="s">
        <v>2295</v>
      </c>
    </row>
    <row r="11" spans="1:19">
      <c r="A11" s="362" t="s">
        <v>241</v>
      </c>
      <c r="B11" s="363" t="s">
        <v>2205</v>
      </c>
      <c r="C11" s="362">
        <v>31590</v>
      </c>
      <c r="D11" s="362">
        <v>29490</v>
      </c>
      <c r="E11" s="362">
        <v>28700</v>
      </c>
      <c r="F11" s="362">
        <v>10410</v>
      </c>
      <c r="G11" s="362">
        <v>21460</v>
      </c>
      <c r="H11" s="356"/>
      <c r="J11" s="363" t="s">
        <v>2296</v>
      </c>
      <c r="K11" s="363" t="s">
        <v>2297</v>
      </c>
      <c r="L11" s="362" t="s">
        <v>2298</v>
      </c>
      <c r="M11" s="362" t="s">
        <v>2299</v>
      </c>
      <c r="N11" s="362" t="s">
        <v>2300</v>
      </c>
      <c r="O11" s="362" t="s">
        <v>2301</v>
      </c>
      <c r="P11" s="362" t="s">
        <v>2302</v>
      </c>
      <c r="Q11" s="362" t="s">
        <v>2303</v>
      </c>
      <c r="R11" s="362" t="s">
        <v>2304</v>
      </c>
      <c r="S11" s="362" t="s">
        <v>2305</v>
      </c>
    </row>
    <row r="12" spans="1:19">
      <c r="A12" s="362" t="s">
        <v>241</v>
      </c>
      <c r="B12" s="363" t="s">
        <v>2219</v>
      </c>
      <c r="C12" s="362">
        <v>29640</v>
      </c>
      <c r="D12" s="362">
        <v>27550</v>
      </c>
      <c r="E12" s="362">
        <v>28010</v>
      </c>
      <c r="F12" s="362">
        <v>8730</v>
      </c>
      <c r="G12" s="362">
        <v>20050</v>
      </c>
      <c r="H12" s="356"/>
      <c r="J12" s="363" t="s">
        <v>2306</v>
      </c>
      <c r="K12" s="363" t="s">
        <v>2307</v>
      </c>
      <c r="L12" s="362" t="s">
        <v>2308</v>
      </c>
      <c r="M12" s="362" t="s">
        <v>2309</v>
      </c>
      <c r="N12" s="362" t="s">
        <v>2310</v>
      </c>
      <c r="O12" s="362" t="s">
        <v>2311</v>
      </c>
      <c r="P12" s="362" t="s">
        <v>2312</v>
      </c>
      <c r="Q12" s="362" t="s">
        <v>2313</v>
      </c>
      <c r="R12" s="362" t="s">
        <v>2314</v>
      </c>
      <c r="S12" s="362" t="s">
        <v>2315</v>
      </c>
    </row>
    <row r="13" spans="1:19">
      <c r="A13" s="362" t="s">
        <v>241</v>
      </c>
      <c r="B13" s="363" t="s">
        <v>2231</v>
      </c>
      <c r="C13" s="362">
        <v>29680</v>
      </c>
      <c r="D13" s="362">
        <v>27660</v>
      </c>
      <c r="E13" s="362">
        <v>28210</v>
      </c>
      <c r="F13" s="362">
        <v>9590</v>
      </c>
      <c r="G13" s="362">
        <v>20120</v>
      </c>
      <c r="H13" s="356"/>
      <c r="J13" s="363" t="s">
        <v>2316</v>
      </c>
      <c r="K13" s="363" t="s">
        <v>2317</v>
      </c>
      <c r="L13" s="362" t="s">
        <v>2318</v>
      </c>
      <c r="M13" s="362" t="s">
        <v>2319</v>
      </c>
      <c r="N13" s="362" t="s">
        <v>2320</v>
      </c>
      <c r="O13" s="362" t="s">
        <v>2321</v>
      </c>
      <c r="P13" s="362" t="s">
        <v>2322</v>
      </c>
      <c r="Q13" s="362" t="s">
        <v>2323</v>
      </c>
      <c r="R13" s="362" t="s">
        <v>2324</v>
      </c>
      <c r="S13" s="362" t="s">
        <v>2325</v>
      </c>
    </row>
    <row r="14" spans="1:19">
      <c r="A14" s="362" t="s">
        <v>241</v>
      </c>
      <c r="B14" s="363" t="s">
        <v>2243</v>
      </c>
      <c r="C14" s="362">
        <v>30520</v>
      </c>
      <c r="D14" s="362">
        <v>29510</v>
      </c>
      <c r="E14" s="362">
        <v>29400</v>
      </c>
      <c r="F14" s="362">
        <v>9630</v>
      </c>
      <c r="G14" s="362">
        <v>21480</v>
      </c>
      <c r="H14" s="356"/>
      <c r="J14" s="363" t="s">
        <v>2326</v>
      </c>
      <c r="K14" s="363" t="s">
        <v>2327</v>
      </c>
      <c r="L14" s="362" t="s">
        <v>2328</v>
      </c>
      <c r="M14" s="362" t="s">
        <v>2329</v>
      </c>
      <c r="N14" s="362" t="s">
        <v>2330</v>
      </c>
      <c r="O14" s="362" t="s">
        <v>2331</v>
      </c>
      <c r="P14" s="362" t="s">
        <v>2332</v>
      </c>
      <c r="Q14" s="362" t="s">
        <v>2333</v>
      </c>
      <c r="R14" s="362" t="s">
        <v>2334</v>
      </c>
      <c r="S14" s="362" t="s">
        <v>2335</v>
      </c>
    </row>
    <row r="15" spans="1:19">
      <c r="A15" s="362" t="s">
        <v>241</v>
      </c>
      <c r="B15" s="363" t="s">
        <v>2254</v>
      </c>
      <c r="C15" s="362">
        <v>29090</v>
      </c>
      <c r="D15" s="362">
        <v>27590</v>
      </c>
      <c r="E15" s="362">
        <v>28120</v>
      </c>
      <c r="F15" s="362">
        <v>9110</v>
      </c>
      <c r="G15" s="362">
        <v>20070</v>
      </c>
      <c r="H15" s="356"/>
      <c r="J15" s="363" t="s">
        <v>2336</v>
      </c>
      <c r="K15" s="363" t="s">
        <v>2337</v>
      </c>
      <c r="L15" s="362" t="s">
        <v>2338</v>
      </c>
      <c r="M15" s="362" t="s">
        <v>2339</v>
      </c>
      <c r="N15" s="362" t="s">
        <v>2340</v>
      </c>
      <c r="O15" s="362" t="s">
        <v>2341</v>
      </c>
      <c r="P15" s="362" t="s">
        <v>2342</v>
      </c>
      <c r="Q15" s="362" t="s">
        <v>2343</v>
      </c>
      <c r="R15" s="362" t="s">
        <v>2344</v>
      </c>
      <c r="S15" s="362" t="s">
        <v>2345</v>
      </c>
    </row>
    <row r="16" spans="1:19">
      <c r="A16" s="362" t="s">
        <v>241</v>
      </c>
      <c r="B16" s="363" t="s">
        <v>2265</v>
      </c>
      <c r="C16" s="362">
        <v>26790</v>
      </c>
      <c r="D16" s="362">
        <v>30370</v>
      </c>
      <c r="E16" s="362">
        <v>30240</v>
      </c>
      <c r="F16" s="362">
        <v>11590</v>
      </c>
      <c r="G16" s="362">
        <v>22090</v>
      </c>
      <c r="H16" s="356"/>
      <c r="J16" s="363" t="s">
        <v>2346</v>
      </c>
      <c r="K16" s="363" t="s">
        <v>2347</v>
      </c>
      <c r="L16" s="362" t="s">
        <v>2348</v>
      </c>
      <c r="M16" s="362" t="s">
        <v>2349</v>
      </c>
      <c r="N16" s="362" t="s">
        <v>2350</v>
      </c>
      <c r="O16" s="362" t="s">
        <v>2351</v>
      </c>
      <c r="P16" s="362" t="s">
        <v>2352</v>
      </c>
      <c r="Q16" s="362" t="s">
        <v>2353</v>
      </c>
      <c r="R16" s="362" t="s">
        <v>2354</v>
      </c>
      <c r="S16" s="362" t="s">
        <v>2355</v>
      </c>
    </row>
    <row r="17" ht="14.25" customHeight="1" spans="1:19">
      <c r="A17" s="362" t="s">
        <v>241</v>
      </c>
      <c r="B17" s="363" t="s">
        <v>2276</v>
      </c>
      <c r="C17" s="362">
        <v>29180</v>
      </c>
      <c r="D17" s="362">
        <v>27620</v>
      </c>
      <c r="E17" s="362">
        <v>28180</v>
      </c>
      <c r="F17" s="362">
        <v>10790</v>
      </c>
      <c r="G17" s="362">
        <v>20090</v>
      </c>
      <c r="H17" s="356"/>
      <c r="J17" s="363" t="s">
        <v>2356</v>
      </c>
      <c r="K17" s="363" t="s">
        <v>2357</v>
      </c>
      <c r="L17" s="362" t="s">
        <v>2358</v>
      </c>
      <c r="M17" s="362" t="s">
        <v>2359</v>
      </c>
      <c r="N17" s="362" t="s">
        <v>2360</v>
      </c>
      <c r="O17" s="362" t="s">
        <v>2361</v>
      </c>
      <c r="P17" s="362" t="s">
        <v>2362</v>
      </c>
      <c r="Q17" s="362" t="s">
        <v>2363</v>
      </c>
      <c r="R17" s="362" t="s">
        <v>2364</v>
      </c>
      <c r="S17" s="362" t="s">
        <v>2365</v>
      </c>
    </row>
    <row r="18" ht="14.25" customHeight="1" spans="1:19">
      <c r="A18" s="362" t="s">
        <v>241</v>
      </c>
      <c r="B18" s="363" t="s">
        <v>2286</v>
      </c>
      <c r="C18" s="362">
        <v>26840</v>
      </c>
      <c r="D18" s="362">
        <v>28930</v>
      </c>
      <c r="E18" s="362">
        <v>28820</v>
      </c>
      <c r="F18" s="362"/>
      <c r="G18" s="362">
        <v>21050</v>
      </c>
      <c r="H18" s="356"/>
      <c r="J18" s="363" t="s">
        <v>2366</v>
      </c>
      <c r="K18" s="363" t="s">
        <v>2367</v>
      </c>
      <c r="L18" s="362" t="s">
        <v>2368</v>
      </c>
      <c r="M18" s="362" t="s">
        <v>2369</v>
      </c>
      <c r="N18" s="362" t="s">
        <v>2370</v>
      </c>
      <c r="O18" s="362" t="s">
        <v>2371</v>
      </c>
      <c r="P18" s="362" t="s">
        <v>2372</v>
      </c>
      <c r="Q18" s="362" t="s">
        <v>2373</v>
      </c>
      <c r="R18" s="362" t="s">
        <v>2374</v>
      </c>
      <c r="S18" s="362" t="s">
        <v>2375</v>
      </c>
    </row>
    <row r="19" ht="14.25" customHeight="1" spans="1:19">
      <c r="A19" s="362" t="s">
        <v>241</v>
      </c>
      <c r="B19" s="363" t="s">
        <v>2296</v>
      </c>
      <c r="C19" s="362">
        <v>27750</v>
      </c>
      <c r="D19" s="362">
        <v>26680</v>
      </c>
      <c r="E19" s="362">
        <v>26590</v>
      </c>
      <c r="F19" s="362"/>
      <c r="G19" s="362">
        <v>19420</v>
      </c>
      <c r="H19" s="356"/>
      <c r="J19" s="363" t="s">
        <v>2376</v>
      </c>
      <c r="K19" s="363" t="s">
        <v>2377</v>
      </c>
      <c r="L19" s="362" t="s">
        <v>2378</v>
      </c>
      <c r="M19" s="362" t="s">
        <v>2379</v>
      </c>
      <c r="N19" s="362" t="s">
        <v>2380</v>
      </c>
      <c r="O19" s="362" t="s">
        <v>2381</v>
      </c>
      <c r="P19" s="362" t="s">
        <v>2382</v>
      </c>
      <c r="Q19" s="362" t="s">
        <v>2383</v>
      </c>
      <c r="R19" s="362" t="s">
        <v>2384</v>
      </c>
      <c r="S19" s="362" t="s">
        <v>2385</v>
      </c>
    </row>
    <row r="20" ht="14.25" customHeight="1" spans="1:19">
      <c r="A20" s="362" t="s">
        <v>241</v>
      </c>
      <c r="B20" s="363" t="s">
        <v>2306</v>
      </c>
      <c r="C20" s="362">
        <v>27050</v>
      </c>
      <c r="D20" s="362">
        <v>29010</v>
      </c>
      <c r="E20" s="362">
        <v>28910</v>
      </c>
      <c r="F20" s="362"/>
      <c r="G20" s="362">
        <v>21110</v>
      </c>
      <c r="J20" s="363" t="s">
        <v>2386</v>
      </c>
      <c r="K20" s="363" t="s">
        <v>2387</v>
      </c>
      <c r="L20" s="362" t="s">
        <v>2388</v>
      </c>
      <c r="M20" s="362" t="s">
        <v>2389</v>
      </c>
      <c r="N20" s="362" t="s">
        <v>2390</v>
      </c>
      <c r="O20" s="362" t="s">
        <v>2391</v>
      </c>
      <c r="P20" s="362" t="s">
        <v>2392</v>
      </c>
      <c r="Q20" s="362" t="s">
        <v>2393</v>
      </c>
      <c r="R20" s="362" t="s">
        <v>2394</v>
      </c>
      <c r="S20" s="362" t="s">
        <v>2395</v>
      </c>
    </row>
    <row r="21" ht="14.25" customHeight="1" spans="1:19">
      <c r="A21" s="362" t="s">
        <v>241</v>
      </c>
      <c r="B21" s="363" t="s">
        <v>2316</v>
      </c>
      <c r="C21" s="362">
        <v>32370</v>
      </c>
      <c r="D21" s="362">
        <v>26730</v>
      </c>
      <c r="E21" s="362">
        <v>26640</v>
      </c>
      <c r="F21" s="362"/>
      <c r="G21" s="362">
        <v>19440</v>
      </c>
      <c r="J21" s="366" t="s">
        <v>2396</v>
      </c>
      <c r="K21" s="363" t="s">
        <v>2397</v>
      </c>
      <c r="L21" s="362" t="s">
        <v>2398</v>
      </c>
      <c r="M21" s="362" t="s">
        <v>2399</v>
      </c>
      <c r="N21" s="362" t="s">
        <v>2400</v>
      </c>
      <c r="O21" s="362" t="s">
        <v>2401</v>
      </c>
      <c r="P21" s="362" t="s">
        <v>2402</v>
      </c>
      <c r="Q21" s="362" t="s">
        <v>2403</v>
      </c>
      <c r="R21" s="362" t="s">
        <v>2404</v>
      </c>
      <c r="S21" s="366" t="s">
        <v>2405</v>
      </c>
    </row>
    <row r="22" ht="14.25" customHeight="1" spans="1:18">
      <c r="A22" s="362" t="s">
        <v>241</v>
      </c>
      <c r="B22" s="363" t="s">
        <v>2326</v>
      </c>
      <c r="C22" s="362">
        <v>29830</v>
      </c>
      <c r="D22" s="362">
        <v>27600</v>
      </c>
      <c r="E22" s="362">
        <v>28150</v>
      </c>
      <c r="F22" s="362"/>
      <c r="G22" s="362">
        <v>20080</v>
      </c>
      <c r="K22" s="363" t="s">
        <v>2406</v>
      </c>
      <c r="L22" s="362" t="s">
        <v>2407</v>
      </c>
      <c r="M22" s="362" t="s">
        <v>2408</v>
      </c>
      <c r="N22" s="362" t="s">
        <v>2409</v>
      </c>
      <c r="O22" s="362" t="s">
        <v>2410</v>
      </c>
      <c r="P22" s="362" t="s">
        <v>2411</v>
      </c>
      <c r="Q22" s="362" t="s">
        <v>2412</v>
      </c>
      <c r="R22" s="362" t="s">
        <v>2413</v>
      </c>
    </row>
    <row r="23" ht="14.25" customHeight="1" spans="1:18">
      <c r="A23" s="362" t="s">
        <v>241</v>
      </c>
      <c r="B23" s="363" t="s">
        <v>2336</v>
      </c>
      <c r="C23" s="362">
        <v>27800</v>
      </c>
      <c r="D23" s="362">
        <v>26900</v>
      </c>
      <c r="E23" s="362">
        <v>27170</v>
      </c>
      <c r="F23" s="362"/>
      <c r="G23" s="362">
        <v>19570</v>
      </c>
      <c r="K23" s="363" t="s">
        <v>2414</v>
      </c>
      <c r="L23" s="362" t="s">
        <v>2415</v>
      </c>
      <c r="M23" s="362" t="s">
        <v>2416</v>
      </c>
      <c r="N23" s="362" t="s">
        <v>2417</v>
      </c>
      <c r="O23" s="362" t="s">
        <v>2418</v>
      </c>
      <c r="P23" s="362" t="s">
        <v>2419</v>
      </c>
      <c r="Q23" s="362" t="s">
        <v>2420</v>
      </c>
      <c r="R23" s="362" t="s">
        <v>2421</v>
      </c>
    </row>
    <row r="24" ht="14.25" customHeight="1" spans="1:18">
      <c r="A24" s="362" t="s">
        <v>241</v>
      </c>
      <c r="B24" s="363" t="s">
        <v>2346</v>
      </c>
      <c r="C24" s="362">
        <v>27930</v>
      </c>
      <c r="D24" s="362">
        <v>32260</v>
      </c>
      <c r="E24" s="362">
        <v>32120</v>
      </c>
      <c r="F24" s="362"/>
      <c r="G24" s="362">
        <v>23470</v>
      </c>
      <c r="K24" s="363" t="s">
        <v>2422</v>
      </c>
      <c r="L24" s="362" t="s">
        <v>2423</v>
      </c>
      <c r="M24" s="362" t="s">
        <v>2424</v>
      </c>
      <c r="N24" s="362" t="s">
        <v>2425</v>
      </c>
      <c r="O24" s="362" t="s">
        <v>2426</v>
      </c>
      <c r="P24" s="362" t="s">
        <v>2427</v>
      </c>
      <c r="Q24" s="376" t="s">
        <v>2428</v>
      </c>
      <c r="R24" s="362" t="s">
        <v>2429</v>
      </c>
    </row>
    <row r="25" ht="14.25" customHeight="1" spans="1:18">
      <c r="A25" s="362" t="s">
        <v>241</v>
      </c>
      <c r="B25" s="363" t="s">
        <v>2356</v>
      </c>
      <c r="C25" s="362">
        <v>32230</v>
      </c>
      <c r="D25" s="362">
        <v>29640</v>
      </c>
      <c r="E25" s="362">
        <v>29510</v>
      </c>
      <c r="F25" s="362"/>
      <c r="G25" s="362">
        <v>21560</v>
      </c>
      <c r="K25" s="363" t="s">
        <v>2430</v>
      </c>
      <c r="L25" s="362" t="s">
        <v>2431</v>
      </c>
      <c r="M25" s="362" t="s">
        <v>2432</v>
      </c>
      <c r="N25" s="362" t="s">
        <v>2433</v>
      </c>
      <c r="O25" s="362" t="s">
        <v>2434</v>
      </c>
      <c r="P25" s="362" t="s">
        <v>2435</v>
      </c>
      <c r="Q25" s="376" t="s">
        <v>2436</v>
      </c>
      <c r="R25" s="362" t="s">
        <v>2437</v>
      </c>
    </row>
    <row r="26" ht="14.25" customHeight="1" spans="1:18">
      <c r="A26" s="362" t="s">
        <v>241</v>
      </c>
      <c r="B26" s="363" t="s">
        <v>2366</v>
      </c>
      <c r="C26" s="362">
        <v>31690</v>
      </c>
      <c r="D26" s="362">
        <v>27650</v>
      </c>
      <c r="E26" s="362">
        <v>28200</v>
      </c>
      <c r="F26" s="362"/>
      <c r="G26" s="362">
        <v>20110</v>
      </c>
      <c r="K26" s="365" t="s">
        <v>2438</v>
      </c>
      <c r="L26" s="362" t="s">
        <v>2439</v>
      </c>
      <c r="M26" s="362" t="s">
        <v>2440</v>
      </c>
      <c r="N26" s="362" t="s">
        <v>2441</v>
      </c>
      <c r="O26" s="362" t="s">
        <v>2442</v>
      </c>
      <c r="P26" s="362" t="s">
        <v>2443</v>
      </c>
      <c r="Q26" s="376" t="s">
        <v>2444</v>
      </c>
      <c r="R26" s="362" t="s">
        <v>2445</v>
      </c>
    </row>
    <row r="27" ht="14.25" customHeight="1" spans="1:18">
      <c r="A27" s="362" t="s">
        <v>241</v>
      </c>
      <c r="B27" s="363" t="s">
        <v>2376</v>
      </c>
      <c r="C27" s="362">
        <v>29610</v>
      </c>
      <c r="D27" s="362">
        <v>27770</v>
      </c>
      <c r="E27" s="362">
        <v>28300</v>
      </c>
      <c r="F27" s="362"/>
      <c r="G27" s="362">
        <v>20210</v>
      </c>
      <c r="L27" s="362" t="s">
        <v>2446</v>
      </c>
      <c r="M27" s="362" t="s">
        <v>2447</v>
      </c>
      <c r="N27" s="362" t="s">
        <v>2448</v>
      </c>
      <c r="O27" s="362" t="s">
        <v>2449</v>
      </c>
      <c r="P27" s="362" t="s">
        <v>2450</v>
      </c>
      <c r="Q27" s="362" t="s">
        <v>2451</v>
      </c>
      <c r="R27" s="362" t="s">
        <v>2452</v>
      </c>
    </row>
    <row r="28" ht="14.25" customHeight="1" spans="1:18">
      <c r="A28" s="362" t="s">
        <v>241</v>
      </c>
      <c r="B28" s="363" t="s">
        <v>2386</v>
      </c>
      <c r="C28" s="362"/>
      <c r="D28" s="362">
        <v>31520</v>
      </c>
      <c r="E28" s="362">
        <v>31410</v>
      </c>
      <c r="F28" s="362"/>
      <c r="G28" s="362">
        <v>22940</v>
      </c>
      <c r="L28" s="362" t="s">
        <v>2453</v>
      </c>
      <c r="M28" s="362" t="s">
        <v>2454</v>
      </c>
      <c r="N28" s="362" t="s">
        <v>2455</v>
      </c>
      <c r="O28" s="362" t="s">
        <v>2456</v>
      </c>
      <c r="P28" s="362" t="s">
        <v>2457</v>
      </c>
      <c r="Q28" s="362" t="s">
        <v>2458</v>
      </c>
      <c r="R28" s="362" t="s">
        <v>2459</v>
      </c>
    </row>
    <row r="29" ht="14.25" customHeight="1" spans="1:18">
      <c r="A29" s="364" t="s">
        <v>241</v>
      </c>
      <c r="B29" s="367" t="s">
        <v>2396</v>
      </c>
      <c r="C29" s="368"/>
      <c r="D29" s="368">
        <v>29460</v>
      </c>
      <c r="E29" s="368">
        <v>28640</v>
      </c>
      <c r="F29" s="368"/>
      <c r="G29" s="368">
        <v>21430</v>
      </c>
      <c r="L29" s="362" t="s">
        <v>2460</v>
      </c>
      <c r="M29" s="362" t="s">
        <v>2461</v>
      </c>
      <c r="N29" s="362" t="s">
        <v>2462</v>
      </c>
      <c r="O29" s="362" t="s">
        <v>2463</v>
      </c>
      <c r="P29" s="362" t="s">
        <v>2464</v>
      </c>
      <c r="Q29" s="362" t="s">
        <v>2465</v>
      </c>
      <c r="R29" s="362" t="s">
        <v>2466</v>
      </c>
    </row>
    <row r="30" ht="14.25" customHeight="1" spans="1:18">
      <c r="A30" s="360" t="s">
        <v>251</v>
      </c>
      <c r="B30" s="361" t="s">
        <v>2193</v>
      </c>
      <c r="C30" s="361">
        <v>26890</v>
      </c>
      <c r="D30" s="361">
        <v>26770</v>
      </c>
      <c r="E30" s="361">
        <v>25700</v>
      </c>
      <c r="F30" s="361">
        <v>8180</v>
      </c>
      <c r="G30" s="369">
        <v>18740</v>
      </c>
      <c r="L30" s="362" t="s">
        <v>2467</v>
      </c>
      <c r="M30" s="362" t="s">
        <v>2468</v>
      </c>
      <c r="N30" s="362" t="s">
        <v>2469</v>
      </c>
      <c r="O30" s="362" t="s">
        <v>2470</v>
      </c>
      <c r="P30" s="362" t="s">
        <v>2471</v>
      </c>
      <c r="Q30" s="362" t="s">
        <v>2472</v>
      </c>
      <c r="R30" s="362" t="s">
        <v>2473</v>
      </c>
    </row>
    <row r="31" ht="14.25" customHeight="1" spans="1:18">
      <c r="A31" s="362" t="s">
        <v>251</v>
      </c>
      <c r="B31" s="363" t="s">
        <v>2206</v>
      </c>
      <c r="C31" s="362">
        <v>24550</v>
      </c>
      <c r="D31" s="362">
        <v>23990</v>
      </c>
      <c r="E31" s="362">
        <v>22930</v>
      </c>
      <c r="F31" s="362">
        <v>7470</v>
      </c>
      <c r="G31" s="370">
        <v>16790</v>
      </c>
      <c r="L31" s="362" t="s">
        <v>2474</v>
      </c>
      <c r="M31" s="362" t="s">
        <v>2475</v>
      </c>
      <c r="N31" s="362" t="s">
        <v>2476</v>
      </c>
      <c r="O31" s="362" t="s">
        <v>2477</v>
      </c>
      <c r="P31" s="362" t="s">
        <v>2478</v>
      </c>
      <c r="Q31" s="362" t="s">
        <v>2479</v>
      </c>
      <c r="R31" s="362" t="s">
        <v>2480</v>
      </c>
    </row>
    <row r="32" ht="14.25" customHeight="1" spans="1:18">
      <c r="A32" s="362" t="s">
        <v>251</v>
      </c>
      <c r="B32" s="363" t="s">
        <v>2220</v>
      </c>
      <c r="C32" s="362">
        <v>27210</v>
      </c>
      <c r="D32" s="362">
        <v>23240</v>
      </c>
      <c r="E32" s="362">
        <v>23260</v>
      </c>
      <c r="F32" s="362">
        <v>7130</v>
      </c>
      <c r="G32" s="370">
        <v>16270</v>
      </c>
      <c r="L32" s="362" t="s">
        <v>2481</v>
      </c>
      <c r="M32" s="362" t="s">
        <v>2482</v>
      </c>
      <c r="N32" s="362" t="s">
        <v>2483</v>
      </c>
      <c r="O32" s="362" t="s">
        <v>2484</v>
      </c>
      <c r="P32" s="362" t="s">
        <v>2485</v>
      </c>
      <c r="Q32" s="362" t="s">
        <v>2486</v>
      </c>
      <c r="R32" s="366" t="s">
        <v>2487</v>
      </c>
    </row>
    <row r="33" ht="14.25" customHeight="1" spans="1:17">
      <c r="A33" s="362" t="s">
        <v>251</v>
      </c>
      <c r="B33" s="363" t="s">
        <v>2232</v>
      </c>
      <c r="C33" s="362">
        <v>27300</v>
      </c>
      <c r="D33" s="362">
        <v>22980</v>
      </c>
      <c r="E33" s="362">
        <v>24260</v>
      </c>
      <c r="F33" s="362">
        <v>5860</v>
      </c>
      <c r="G33" s="370">
        <v>16090</v>
      </c>
      <c r="L33" s="366" t="s">
        <v>2488</v>
      </c>
      <c r="M33" s="362" t="s">
        <v>2489</v>
      </c>
      <c r="N33" s="362" t="s">
        <v>2490</v>
      </c>
      <c r="O33" s="362" t="s">
        <v>2491</v>
      </c>
      <c r="P33" s="362" t="s">
        <v>2492</v>
      </c>
      <c r="Q33" s="362" t="s">
        <v>2493</v>
      </c>
    </row>
    <row r="34" ht="14.25" customHeight="1" spans="1:17">
      <c r="A34" s="362" t="s">
        <v>251</v>
      </c>
      <c r="B34" s="363" t="s">
        <v>2244</v>
      </c>
      <c r="C34" s="362">
        <v>23090</v>
      </c>
      <c r="D34" s="362">
        <v>23390</v>
      </c>
      <c r="E34" s="362">
        <v>23510</v>
      </c>
      <c r="F34" s="362">
        <v>6700</v>
      </c>
      <c r="G34" s="370">
        <v>16370</v>
      </c>
      <c r="M34" s="362" t="s">
        <v>2494</v>
      </c>
      <c r="N34" s="362" t="s">
        <v>2495</v>
      </c>
      <c r="O34" s="362" t="s">
        <v>2496</v>
      </c>
      <c r="P34" s="362" t="s">
        <v>2497</v>
      </c>
      <c r="Q34" s="362" t="s">
        <v>2498</v>
      </c>
    </row>
    <row r="35" ht="14.25" customHeight="1" spans="1:17">
      <c r="A35" s="362" t="s">
        <v>251</v>
      </c>
      <c r="B35" s="363" t="s">
        <v>2255</v>
      </c>
      <c r="C35" s="362">
        <v>27270</v>
      </c>
      <c r="D35" s="362">
        <v>24270</v>
      </c>
      <c r="E35" s="362">
        <v>24950</v>
      </c>
      <c r="F35" s="362">
        <v>6600</v>
      </c>
      <c r="G35" s="370">
        <v>16990</v>
      </c>
      <c r="M35" s="362" t="s">
        <v>2499</v>
      </c>
      <c r="N35" s="362" t="s">
        <v>2500</v>
      </c>
      <c r="O35" s="362" t="s">
        <v>2501</v>
      </c>
      <c r="P35" s="362" t="s">
        <v>2502</v>
      </c>
      <c r="Q35" s="362" t="s">
        <v>2503</v>
      </c>
    </row>
    <row r="36" ht="14.25" customHeight="1" spans="1:17">
      <c r="A36" s="362" t="s">
        <v>251</v>
      </c>
      <c r="B36" s="363" t="s">
        <v>2266</v>
      </c>
      <c r="C36" s="362">
        <v>23490</v>
      </c>
      <c r="D36" s="362">
        <v>23020</v>
      </c>
      <c r="E36" s="362">
        <v>25230</v>
      </c>
      <c r="F36" s="362">
        <v>6780</v>
      </c>
      <c r="G36" s="370">
        <v>16120</v>
      </c>
      <c r="M36" s="362" t="s">
        <v>2504</v>
      </c>
      <c r="N36" s="362" t="s">
        <v>2505</v>
      </c>
      <c r="O36" s="362" t="s">
        <v>2506</v>
      </c>
      <c r="P36" s="362" t="s">
        <v>2507</v>
      </c>
      <c r="Q36" s="362" t="s">
        <v>2508</v>
      </c>
    </row>
    <row r="37" ht="14.25" customHeight="1" spans="1:17">
      <c r="A37" s="362" t="s">
        <v>251</v>
      </c>
      <c r="B37" s="363" t="s">
        <v>2277</v>
      </c>
      <c r="C37" s="362">
        <v>24380</v>
      </c>
      <c r="D37" s="362">
        <v>22240</v>
      </c>
      <c r="E37" s="362">
        <v>25980</v>
      </c>
      <c r="F37" s="362">
        <v>8160</v>
      </c>
      <c r="G37" s="370">
        <v>15570</v>
      </c>
      <c r="M37" s="362" t="s">
        <v>2509</v>
      </c>
      <c r="N37" s="362" t="s">
        <v>2510</v>
      </c>
      <c r="O37" s="362" t="s">
        <v>2511</v>
      </c>
      <c r="P37" s="362" t="s">
        <v>2512</v>
      </c>
      <c r="Q37" s="362" t="s">
        <v>2513</v>
      </c>
    </row>
    <row r="38" ht="14.25" customHeight="1" spans="1:17">
      <c r="A38" s="362" t="s">
        <v>251</v>
      </c>
      <c r="B38" s="363" t="s">
        <v>2287</v>
      </c>
      <c r="C38" s="362">
        <v>23120</v>
      </c>
      <c r="D38" s="362">
        <v>24630</v>
      </c>
      <c r="E38" s="362">
        <v>25030</v>
      </c>
      <c r="F38" s="362">
        <v>7710</v>
      </c>
      <c r="G38" s="370">
        <v>17240</v>
      </c>
      <c r="M38" s="362" t="s">
        <v>2514</v>
      </c>
      <c r="N38" s="362" t="s">
        <v>2515</v>
      </c>
      <c r="O38" s="362" t="s">
        <v>2516</v>
      </c>
      <c r="P38" s="362" t="s">
        <v>2517</v>
      </c>
      <c r="Q38" s="362" t="s">
        <v>2518</v>
      </c>
    </row>
    <row r="39" ht="14.25" customHeight="1" spans="1:17">
      <c r="A39" s="362" t="s">
        <v>251</v>
      </c>
      <c r="B39" s="363" t="s">
        <v>2297</v>
      </c>
      <c r="C39" s="362">
        <v>22330</v>
      </c>
      <c r="D39" s="362">
        <v>21140</v>
      </c>
      <c r="E39" s="362">
        <v>23970</v>
      </c>
      <c r="F39" s="362">
        <v>7940</v>
      </c>
      <c r="G39" s="370">
        <v>14790</v>
      </c>
      <c r="M39" s="362" t="s">
        <v>2519</v>
      </c>
      <c r="N39" s="362" t="s">
        <v>2520</v>
      </c>
      <c r="O39" s="362" t="s">
        <v>2521</v>
      </c>
      <c r="P39" s="362" t="s">
        <v>2522</v>
      </c>
      <c r="Q39" s="362" t="s">
        <v>2523</v>
      </c>
    </row>
    <row r="40" ht="14.25" customHeight="1" spans="1:17">
      <c r="A40" s="362" t="s">
        <v>251</v>
      </c>
      <c r="B40" s="363" t="s">
        <v>2307</v>
      </c>
      <c r="C40" s="362">
        <v>24740</v>
      </c>
      <c r="D40" s="362">
        <v>24690</v>
      </c>
      <c r="E40" s="362">
        <v>22610</v>
      </c>
      <c r="F40" s="362"/>
      <c r="G40" s="370">
        <v>17280</v>
      </c>
      <c r="M40" s="362" t="s">
        <v>2524</v>
      </c>
      <c r="N40" s="362" t="s">
        <v>2525</v>
      </c>
      <c r="O40" s="362" t="s">
        <v>2526</v>
      </c>
      <c r="P40" s="362" t="s">
        <v>2527</v>
      </c>
      <c r="Q40" s="362" t="s">
        <v>2528</v>
      </c>
    </row>
    <row r="41" ht="14.25" customHeight="1" spans="1:17">
      <c r="A41" s="362" t="s">
        <v>251</v>
      </c>
      <c r="B41" s="363" t="s">
        <v>2317</v>
      </c>
      <c r="C41" s="362">
        <v>21220</v>
      </c>
      <c r="D41" s="362">
        <v>21120</v>
      </c>
      <c r="E41" s="362">
        <v>22590</v>
      </c>
      <c r="F41" s="362"/>
      <c r="G41" s="370">
        <v>14780</v>
      </c>
      <c r="M41" s="366" t="s">
        <v>2529</v>
      </c>
      <c r="N41" s="362" t="s">
        <v>2530</v>
      </c>
      <c r="O41" s="362" t="s">
        <v>2531</v>
      </c>
      <c r="P41" s="362" t="s">
        <v>2532</v>
      </c>
      <c r="Q41" s="362" t="s">
        <v>2533</v>
      </c>
    </row>
    <row r="42" ht="14.25" customHeight="1" spans="1:17">
      <c r="A42" s="362" t="s">
        <v>251</v>
      </c>
      <c r="B42" s="363" t="s">
        <v>2327</v>
      </c>
      <c r="C42" s="362">
        <v>24800</v>
      </c>
      <c r="D42" s="362">
        <v>22280</v>
      </c>
      <c r="E42" s="362">
        <v>24350</v>
      </c>
      <c r="F42" s="362"/>
      <c r="G42" s="370">
        <v>15590</v>
      </c>
      <c r="N42" s="362" t="s">
        <v>2534</v>
      </c>
      <c r="O42" s="362" t="s">
        <v>2535</v>
      </c>
      <c r="P42" s="362" t="s">
        <v>2536</v>
      </c>
      <c r="Q42" s="362" t="s">
        <v>2537</v>
      </c>
    </row>
    <row r="43" ht="14.25" customHeight="1" spans="1:17">
      <c r="A43" s="362" t="s">
        <v>251</v>
      </c>
      <c r="B43" s="363" t="s">
        <v>2337</v>
      </c>
      <c r="C43" s="362">
        <v>21210</v>
      </c>
      <c r="D43" s="362">
        <v>21160</v>
      </c>
      <c r="E43" s="362">
        <v>22650</v>
      </c>
      <c r="F43" s="362"/>
      <c r="G43" s="370">
        <v>14800</v>
      </c>
      <c r="N43" s="362" t="s">
        <v>2538</v>
      </c>
      <c r="O43" s="362" t="s">
        <v>2539</v>
      </c>
      <c r="P43" s="362" t="s">
        <v>2540</v>
      </c>
      <c r="Q43" s="362" t="s">
        <v>2541</v>
      </c>
    </row>
    <row r="44" ht="14.25" customHeight="1" spans="1:17">
      <c r="A44" s="362" t="s">
        <v>251</v>
      </c>
      <c r="B44" s="363" t="s">
        <v>2347</v>
      </c>
      <c r="C44" s="362">
        <v>22370</v>
      </c>
      <c r="D44" s="362">
        <v>23140</v>
      </c>
      <c r="E44" s="362">
        <v>25090</v>
      </c>
      <c r="F44" s="362"/>
      <c r="G44" s="370">
        <v>16190</v>
      </c>
      <c r="N44" s="362" t="s">
        <v>2542</v>
      </c>
      <c r="O44" s="362" t="s">
        <v>2543</v>
      </c>
      <c r="P44" s="366" t="s">
        <v>2544</v>
      </c>
      <c r="Q44" s="362" t="s">
        <v>2545</v>
      </c>
    </row>
    <row r="45" ht="14.25" customHeight="1" spans="1:17">
      <c r="A45" s="362" t="s">
        <v>251</v>
      </c>
      <c r="B45" s="363" t="s">
        <v>2357</v>
      </c>
      <c r="C45" s="362">
        <v>21240</v>
      </c>
      <c r="D45" s="362">
        <v>27050</v>
      </c>
      <c r="E45" s="362">
        <v>28000</v>
      </c>
      <c r="F45" s="362"/>
      <c r="G45" s="370">
        <v>18940</v>
      </c>
      <c r="N45" s="362" t="s">
        <v>2546</v>
      </c>
      <c r="O45" s="366" t="s">
        <v>2547</v>
      </c>
      <c r="Q45" s="362" t="s">
        <v>2548</v>
      </c>
    </row>
    <row r="46" ht="14.25" customHeight="1" spans="1:17">
      <c r="A46" s="362" t="s">
        <v>251</v>
      </c>
      <c r="B46" s="363" t="s">
        <v>2367</v>
      </c>
      <c r="C46" s="362">
        <v>23240</v>
      </c>
      <c r="D46" s="362">
        <v>23000</v>
      </c>
      <c r="E46" s="362">
        <v>24980</v>
      </c>
      <c r="F46" s="362"/>
      <c r="G46" s="370">
        <v>16100</v>
      </c>
      <c r="N46" s="362" t="s">
        <v>2549</v>
      </c>
      <c r="Q46" s="362" t="s">
        <v>2550</v>
      </c>
    </row>
    <row r="47" ht="14.25" customHeight="1" spans="1:17">
      <c r="A47" s="362" t="s">
        <v>251</v>
      </c>
      <c r="B47" s="363" t="s">
        <v>2377</v>
      </c>
      <c r="C47" s="362">
        <v>27150</v>
      </c>
      <c r="D47" s="362">
        <v>23310</v>
      </c>
      <c r="E47" s="362">
        <v>25150</v>
      </c>
      <c r="F47" s="362"/>
      <c r="G47" s="370">
        <v>16310</v>
      </c>
      <c r="N47" s="362" t="s">
        <v>2551</v>
      </c>
      <c r="Q47" s="362" t="s">
        <v>2552</v>
      </c>
    </row>
    <row r="48" ht="14.25" customHeight="1" spans="1:17">
      <c r="A48" s="362" t="s">
        <v>251</v>
      </c>
      <c r="B48" s="363" t="s">
        <v>2387</v>
      </c>
      <c r="C48" s="362">
        <v>23100</v>
      </c>
      <c r="D48" s="362">
        <v>21110</v>
      </c>
      <c r="E48" s="362">
        <v>23080</v>
      </c>
      <c r="F48" s="362"/>
      <c r="G48" s="370">
        <v>14780</v>
      </c>
      <c r="N48" s="362" t="s">
        <v>2553</v>
      </c>
      <c r="Q48" s="362" t="s">
        <v>2554</v>
      </c>
    </row>
    <row r="49" ht="14.25" customHeight="1" spans="1:17">
      <c r="A49" s="362" t="s">
        <v>251</v>
      </c>
      <c r="B49" s="363" t="s">
        <v>2397</v>
      </c>
      <c r="C49" s="362">
        <v>23400</v>
      </c>
      <c r="D49" s="362">
        <v>22920</v>
      </c>
      <c r="E49" s="362">
        <v>24900</v>
      </c>
      <c r="F49" s="362"/>
      <c r="G49" s="370">
        <v>16040</v>
      </c>
      <c r="N49" s="362" t="s">
        <v>2555</v>
      </c>
      <c r="Q49" s="362" t="s">
        <v>2556</v>
      </c>
    </row>
    <row r="50" ht="14.25" customHeight="1" spans="1:17">
      <c r="A50" s="362" t="s">
        <v>251</v>
      </c>
      <c r="B50" s="363" t="s">
        <v>2406</v>
      </c>
      <c r="C50" s="362">
        <v>21200</v>
      </c>
      <c r="D50" s="362">
        <v>26540</v>
      </c>
      <c r="E50" s="362">
        <v>23200</v>
      </c>
      <c r="F50" s="362"/>
      <c r="G50" s="370">
        <v>18580</v>
      </c>
      <c r="N50" s="362" t="s">
        <v>2557</v>
      </c>
      <c r="Q50" s="363" t="s">
        <v>2558</v>
      </c>
    </row>
    <row r="51" ht="14.25" customHeight="1" spans="1:17">
      <c r="A51" s="362" t="s">
        <v>251</v>
      </c>
      <c r="B51" s="363" t="s">
        <v>2414</v>
      </c>
      <c r="C51" s="362">
        <v>23000</v>
      </c>
      <c r="D51" s="362">
        <v>23460</v>
      </c>
      <c r="E51" s="362">
        <v>25290</v>
      </c>
      <c r="F51" s="362"/>
      <c r="G51" s="370">
        <v>16420</v>
      </c>
      <c r="N51" s="362" t="s">
        <v>2559</v>
      </c>
      <c r="Q51" s="366" t="s">
        <v>2560</v>
      </c>
    </row>
    <row r="52" ht="14.25" customHeight="1" spans="1:14">
      <c r="A52" s="362" t="s">
        <v>251</v>
      </c>
      <c r="B52" s="363" t="s">
        <v>2422</v>
      </c>
      <c r="C52" s="362">
        <v>26660</v>
      </c>
      <c r="D52" s="362">
        <v>22350</v>
      </c>
      <c r="E52" s="362">
        <v>22920</v>
      </c>
      <c r="F52" s="362"/>
      <c r="G52" s="370">
        <v>15640</v>
      </c>
      <c r="N52" s="362" t="s">
        <v>2561</v>
      </c>
    </row>
    <row r="53" ht="14.25" customHeight="1" spans="1:14">
      <c r="A53" s="362" t="s">
        <v>251</v>
      </c>
      <c r="B53" s="363" t="s">
        <v>2430</v>
      </c>
      <c r="C53" s="362">
        <v>23580</v>
      </c>
      <c r="D53" s="362"/>
      <c r="E53" s="362">
        <v>24280</v>
      </c>
      <c r="F53" s="362"/>
      <c r="G53" s="370"/>
      <c r="N53" s="362" t="s">
        <v>2562</v>
      </c>
    </row>
    <row r="54" ht="14.25" customHeight="1" spans="1:14">
      <c r="A54" s="371" t="s">
        <v>251</v>
      </c>
      <c r="B54" s="365" t="s">
        <v>2438</v>
      </c>
      <c r="C54" s="366">
        <v>22460</v>
      </c>
      <c r="D54" s="366"/>
      <c r="E54" s="366"/>
      <c r="F54" s="366"/>
      <c r="G54" s="372"/>
      <c r="N54" s="362" t="s">
        <v>2563</v>
      </c>
    </row>
    <row r="55" ht="14.25" customHeight="1" spans="1:14">
      <c r="A55" s="360" t="s">
        <v>259</v>
      </c>
      <c r="B55" s="361" t="s">
        <v>2194</v>
      </c>
      <c r="C55" s="362">
        <v>21970</v>
      </c>
      <c r="D55" s="362">
        <v>20370</v>
      </c>
      <c r="E55" s="362">
        <v>20180</v>
      </c>
      <c r="F55" s="362">
        <v>5730</v>
      </c>
      <c r="G55" s="362">
        <v>13820</v>
      </c>
      <c r="N55" s="362" t="s">
        <v>2564</v>
      </c>
    </row>
    <row r="56" ht="14.25" customHeight="1" spans="1:14">
      <c r="A56" s="362" t="s">
        <v>259</v>
      </c>
      <c r="B56" s="362" t="s">
        <v>2207</v>
      </c>
      <c r="C56" s="362">
        <v>20470</v>
      </c>
      <c r="D56" s="362">
        <v>20700</v>
      </c>
      <c r="E56" s="362">
        <v>20380</v>
      </c>
      <c r="F56" s="362">
        <v>4760</v>
      </c>
      <c r="G56" s="362">
        <v>14050</v>
      </c>
      <c r="N56" s="362" t="s">
        <v>2565</v>
      </c>
    </row>
    <row r="57" ht="14.25" customHeight="1" spans="1:14">
      <c r="A57" s="362" t="s">
        <v>259</v>
      </c>
      <c r="B57" s="362" t="s">
        <v>2221</v>
      </c>
      <c r="C57" s="362">
        <v>20790</v>
      </c>
      <c r="D57" s="362">
        <v>21370</v>
      </c>
      <c r="E57" s="362">
        <v>20890</v>
      </c>
      <c r="F57" s="362">
        <v>4910</v>
      </c>
      <c r="G57" s="362">
        <v>14510</v>
      </c>
      <c r="N57" s="362" t="s">
        <v>2566</v>
      </c>
    </row>
    <row r="58" ht="14.25" customHeight="1" spans="1:14">
      <c r="A58" s="362" t="s">
        <v>259</v>
      </c>
      <c r="B58" s="362" t="s">
        <v>2233</v>
      </c>
      <c r="C58" s="362">
        <v>21460</v>
      </c>
      <c r="D58" s="362">
        <v>20920</v>
      </c>
      <c r="E58" s="362">
        <v>23410</v>
      </c>
      <c r="F58" s="362">
        <v>5100</v>
      </c>
      <c r="G58" s="362">
        <v>14200</v>
      </c>
      <c r="N58" s="362" t="s">
        <v>2567</v>
      </c>
    </row>
    <row r="59" ht="14.25" customHeight="1" spans="1:14">
      <c r="A59" s="362" t="s">
        <v>259</v>
      </c>
      <c r="B59" s="362" t="s">
        <v>2245</v>
      </c>
      <c r="C59" s="362">
        <v>21000</v>
      </c>
      <c r="D59" s="362">
        <v>21550</v>
      </c>
      <c r="E59" s="362">
        <v>21150</v>
      </c>
      <c r="F59" s="362">
        <v>5250</v>
      </c>
      <c r="G59" s="362">
        <v>14630</v>
      </c>
      <c r="N59" s="362" t="s">
        <v>2568</v>
      </c>
    </row>
    <row r="60" ht="14.25" customHeight="1" spans="1:14">
      <c r="A60" s="362" t="s">
        <v>259</v>
      </c>
      <c r="B60" s="362" t="s">
        <v>2256</v>
      </c>
      <c r="C60" s="362">
        <v>21640</v>
      </c>
      <c r="D60" s="362">
        <v>21260</v>
      </c>
      <c r="E60" s="362">
        <v>24040</v>
      </c>
      <c r="F60" s="362">
        <v>4470</v>
      </c>
      <c r="G60" s="362">
        <v>14430</v>
      </c>
      <c r="N60" s="362" t="s">
        <v>2569</v>
      </c>
    </row>
    <row r="61" ht="14.25" customHeight="1" spans="1:14">
      <c r="A61" s="362" t="s">
        <v>259</v>
      </c>
      <c r="B61" s="362" t="s">
        <v>2267</v>
      </c>
      <c r="C61" s="362">
        <v>21330</v>
      </c>
      <c r="D61" s="362">
        <v>18640</v>
      </c>
      <c r="E61" s="362">
        <v>21190</v>
      </c>
      <c r="F61" s="362">
        <v>4180</v>
      </c>
      <c r="G61" s="362">
        <v>12650</v>
      </c>
      <c r="N61" s="362" t="s">
        <v>2570</v>
      </c>
    </row>
    <row r="62" ht="14.25" customHeight="1" spans="1:14">
      <c r="A62" s="362" t="s">
        <v>259</v>
      </c>
      <c r="B62" s="362" t="s">
        <v>2278</v>
      </c>
      <c r="C62" s="362">
        <v>18710</v>
      </c>
      <c r="D62" s="362">
        <v>19400</v>
      </c>
      <c r="E62" s="362">
        <v>23750</v>
      </c>
      <c r="F62" s="362">
        <v>4860</v>
      </c>
      <c r="G62" s="362">
        <v>13170</v>
      </c>
      <c r="N62" s="362" t="s">
        <v>2571</v>
      </c>
    </row>
    <row r="63" ht="14.25" customHeight="1" spans="1:14">
      <c r="A63" s="362" t="s">
        <v>259</v>
      </c>
      <c r="B63" s="362" t="s">
        <v>2288</v>
      </c>
      <c r="C63" s="362">
        <v>19480</v>
      </c>
      <c r="D63" s="362">
        <v>16830</v>
      </c>
      <c r="E63" s="362">
        <v>21590</v>
      </c>
      <c r="F63" s="362">
        <v>4560</v>
      </c>
      <c r="G63" s="362">
        <v>11420</v>
      </c>
      <c r="N63" s="362" t="s">
        <v>2572</v>
      </c>
    </row>
    <row r="64" ht="14.25" customHeight="1" spans="1:14">
      <c r="A64" s="362" t="s">
        <v>259</v>
      </c>
      <c r="B64" s="362" t="s">
        <v>2298</v>
      </c>
      <c r="C64" s="362">
        <v>16920</v>
      </c>
      <c r="D64" s="362">
        <v>19190</v>
      </c>
      <c r="E64" s="362">
        <v>22200</v>
      </c>
      <c r="F64" s="362">
        <v>4390</v>
      </c>
      <c r="G64" s="362">
        <v>13030</v>
      </c>
      <c r="N64" s="366" t="s">
        <v>2573</v>
      </c>
    </row>
    <row r="65" s="347" customFormat="1" ht="14.25" customHeight="1" spans="1:7">
      <c r="A65" s="362" t="s">
        <v>259</v>
      </c>
      <c r="B65" s="362" t="s">
        <v>2308</v>
      </c>
      <c r="C65" s="362">
        <v>19290</v>
      </c>
      <c r="D65" s="362">
        <v>17020</v>
      </c>
      <c r="E65" s="362">
        <v>19880</v>
      </c>
      <c r="F65" s="362">
        <v>4070</v>
      </c>
      <c r="G65" s="362">
        <v>11550</v>
      </c>
    </row>
    <row r="66" s="347" customFormat="1" ht="14.25" customHeight="1" spans="1:7">
      <c r="A66" s="362" t="s">
        <v>259</v>
      </c>
      <c r="B66" s="362" t="s">
        <v>2318</v>
      </c>
      <c r="C66" s="362">
        <v>17090</v>
      </c>
      <c r="D66" s="362">
        <v>18340</v>
      </c>
      <c r="E66" s="362">
        <v>21830</v>
      </c>
      <c r="F66" s="362">
        <v>4690</v>
      </c>
      <c r="G66" s="362">
        <v>12450</v>
      </c>
    </row>
    <row r="67" s="347" customFormat="1" ht="14.25" customHeight="1" spans="1:7">
      <c r="A67" s="362" t="s">
        <v>259</v>
      </c>
      <c r="B67" s="362" t="s">
        <v>2328</v>
      </c>
      <c r="C67" s="362">
        <v>18420</v>
      </c>
      <c r="D67" s="362">
        <v>16360</v>
      </c>
      <c r="E67" s="362">
        <v>20020</v>
      </c>
      <c r="F67" s="362">
        <v>5150</v>
      </c>
      <c r="G67" s="362">
        <v>11110</v>
      </c>
    </row>
    <row r="68" s="347" customFormat="1" ht="14.25" customHeight="1" spans="1:7">
      <c r="A68" s="362" t="s">
        <v>259</v>
      </c>
      <c r="B68" s="362" t="s">
        <v>2338</v>
      </c>
      <c r="C68" s="362">
        <v>16450</v>
      </c>
      <c r="D68" s="362">
        <v>18430</v>
      </c>
      <c r="E68" s="362">
        <v>21010</v>
      </c>
      <c r="F68" s="362">
        <v>4720</v>
      </c>
      <c r="G68" s="362">
        <v>12510</v>
      </c>
    </row>
    <row r="69" s="347" customFormat="1" ht="14.25" customHeight="1" spans="1:7">
      <c r="A69" s="362" t="s">
        <v>259</v>
      </c>
      <c r="B69" s="362" t="s">
        <v>2348</v>
      </c>
      <c r="C69" s="362">
        <v>18510</v>
      </c>
      <c r="D69" s="362">
        <v>16300</v>
      </c>
      <c r="E69" s="362">
        <v>18830</v>
      </c>
      <c r="F69" s="362">
        <v>5400</v>
      </c>
      <c r="G69" s="362">
        <v>11070</v>
      </c>
    </row>
    <row r="70" s="347" customFormat="1" ht="14.25" customHeight="1" spans="1:7">
      <c r="A70" s="362" t="s">
        <v>259</v>
      </c>
      <c r="B70" s="362" t="s">
        <v>2358</v>
      </c>
      <c r="C70" s="362">
        <v>16370</v>
      </c>
      <c r="D70" s="362">
        <v>18620</v>
      </c>
      <c r="E70" s="362">
        <v>21100</v>
      </c>
      <c r="F70" s="362">
        <v>5700</v>
      </c>
      <c r="G70" s="362">
        <v>12640</v>
      </c>
    </row>
    <row r="71" s="347" customFormat="1" ht="14.25" customHeight="1" spans="1:7">
      <c r="A71" s="362" t="s">
        <v>259</v>
      </c>
      <c r="B71" s="362" t="s">
        <v>2368</v>
      </c>
      <c r="C71" s="362">
        <v>18700</v>
      </c>
      <c r="D71" s="362">
        <v>16290</v>
      </c>
      <c r="E71" s="362">
        <v>18760</v>
      </c>
      <c r="F71" s="362">
        <v>4780</v>
      </c>
      <c r="G71" s="362">
        <v>11050</v>
      </c>
    </row>
    <row r="72" s="347" customFormat="1" ht="14.25" customHeight="1" spans="1:7">
      <c r="A72" s="362" t="s">
        <v>259</v>
      </c>
      <c r="B72" s="362" t="s">
        <v>2378</v>
      </c>
      <c r="C72" s="362">
        <v>16340</v>
      </c>
      <c r="D72" s="362">
        <v>17520</v>
      </c>
      <c r="E72" s="362">
        <v>21170</v>
      </c>
      <c r="F72" s="362"/>
      <c r="G72" s="362">
        <v>11900</v>
      </c>
    </row>
    <row r="73" s="347" customFormat="1" ht="14.25" customHeight="1" spans="1:7">
      <c r="A73" s="362" t="s">
        <v>259</v>
      </c>
      <c r="B73" s="362" t="s">
        <v>2388</v>
      </c>
      <c r="C73" s="362">
        <v>17610</v>
      </c>
      <c r="D73" s="362">
        <v>18520</v>
      </c>
      <c r="E73" s="362">
        <v>18720</v>
      </c>
      <c r="F73" s="362"/>
      <c r="G73" s="362">
        <v>12570</v>
      </c>
    </row>
    <row r="74" s="347" customFormat="1" ht="14.25" customHeight="1" spans="1:7">
      <c r="A74" s="362" t="s">
        <v>259</v>
      </c>
      <c r="B74" s="362" t="s">
        <v>2398</v>
      </c>
      <c r="C74" s="362">
        <v>18600</v>
      </c>
      <c r="D74" s="362">
        <v>16480</v>
      </c>
      <c r="E74" s="362">
        <v>20100</v>
      </c>
      <c r="F74" s="362"/>
      <c r="G74" s="362">
        <v>11190</v>
      </c>
    </row>
    <row r="75" s="347" customFormat="1" ht="14.25" customHeight="1" spans="1:7">
      <c r="A75" s="362" t="s">
        <v>259</v>
      </c>
      <c r="B75" s="362" t="s">
        <v>2407</v>
      </c>
      <c r="C75" s="362">
        <v>16570</v>
      </c>
      <c r="D75" s="362">
        <v>17530</v>
      </c>
      <c r="E75" s="362">
        <v>21030</v>
      </c>
      <c r="F75" s="362"/>
      <c r="G75" s="362">
        <v>11900</v>
      </c>
    </row>
    <row r="76" s="347" customFormat="1" ht="14.25" customHeight="1" spans="1:7">
      <c r="A76" s="362" t="s">
        <v>259</v>
      </c>
      <c r="B76" s="362" t="s">
        <v>2415</v>
      </c>
      <c r="C76" s="362">
        <v>17610</v>
      </c>
      <c r="D76" s="362">
        <v>20800</v>
      </c>
      <c r="E76" s="362">
        <v>18920</v>
      </c>
      <c r="F76" s="362"/>
      <c r="G76" s="362">
        <v>14120</v>
      </c>
    </row>
    <row r="77" s="347" customFormat="1" ht="14.25" customHeight="1" spans="1:7">
      <c r="A77" s="362" t="s">
        <v>259</v>
      </c>
      <c r="B77" s="362" t="s">
        <v>2423</v>
      </c>
      <c r="C77" s="362">
        <v>20890</v>
      </c>
      <c r="D77" s="362">
        <v>19740</v>
      </c>
      <c r="E77" s="362">
        <v>20110</v>
      </c>
      <c r="F77" s="362"/>
      <c r="G77" s="362">
        <v>13400</v>
      </c>
    </row>
    <row r="78" s="347" customFormat="1" ht="14.25" customHeight="1" spans="1:7">
      <c r="A78" s="362" t="s">
        <v>259</v>
      </c>
      <c r="B78" s="362" t="s">
        <v>2431</v>
      </c>
      <c r="C78" s="362">
        <v>19820</v>
      </c>
      <c r="D78" s="362">
        <v>19780</v>
      </c>
      <c r="E78" s="362">
        <v>18560</v>
      </c>
      <c r="F78" s="362"/>
      <c r="G78" s="362">
        <v>13430</v>
      </c>
    </row>
    <row r="79" s="347" customFormat="1" ht="14.25" customHeight="1" spans="1:7">
      <c r="A79" s="362" t="s">
        <v>259</v>
      </c>
      <c r="B79" s="362" t="s">
        <v>2439</v>
      </c>
      <c r="C79" s="362">
        <v>21660</v>
      </c>
      <c r="D79" s="362">
        <v>18000</v>
      </c>
      <c r="E79" s="362">
        <v>22570</v>
      </c>
      <c r="F79" s="362"/>
      <c r="G79" s="362">
        <v>12220</v>
      </c>
    </row>
    <row r="80" s="347" customFormat="1" ht="14.25" customHeight="1" spans="1:7">
      <c r="A80" s="362" t="s">
        <v>259</v>
      </c>
      <c r="B80" s="362" t="s">
        <v>2446</v>
      </c>
      <c r="C80" s="362">
        <v>19850</v>
      </c>
      <c r="D80" s="362"/>
      <c r="E80" s="362">
        <v>21700</v>
      </c>
      <c r="F80" s="362"/>
      <c r="G80" s="362"/>
    </row>
    <row r="81" s="347" customFormat="1" ht="14.25" customHeight="1" spans="1:7">
      <c r="A81" s="362" t="s">
        <v>259</v>
      </c>
      <c r="B81" s="362" t="s">
        <v>2453</v>
      </c>
      <c r="C81" s="362">
        <v>18080</v>
      </c>
      <c r="D81" s="362"/>
      <c r="E81" s="362">
        <v>20900</v>
      </c>
      <c r="F81" s="362"/>
      <c r="G81" s="362"/>
    </row>
    <row r="82" s="347" customFormat="1" ht="14.25" customHeight="1" spans="1:7">
      <c r="A82" s="362" t="s">
        <v>259</v>
      </c>
      <c r="B82" s="362" t="s">
        <v>2460</v>
      </c>
      <c r="C82" s="362"/>
      <c r="D82" s="362"/>
      <c r="E82" s="362">
        <v>20840</v>
      </c>
      <c r="F82" s="362"/>
      <c r="G82" s="362"/>
    </row>
    <row r="83" s="347" customFormat="1" ht="14.25" customHeight="1" spans="1:7">
      <c r="A83" s="362" t="s">
        <v>259</v>
      </c>
      <c r="B83" s="362" t="s">
        <v>2467</v>
      </c>
      <c r="C83" s="362"/>
      <c r="D83" s="362"/>
      <c r="E83" s="362"/>
      <c r="F83" s="362">
        <v>4770</v>
      </c>
      <c r="G83" s="362"/>
    </row>
    <row r="84" s="347" customFormat="1" ht="14.25" customHeight="1" spans="1:7">
      <c r="A84" s="362" t="s">
        <v>259</v>
      </c>
      <c r="B84" s="362" t="s">
        <v>2474</v>
      </c>
      <c r="C84" s="362"/>
      <c r="D84" s="362"/>
      <c r="E84" s="362"/>
      <c r="F84" s="362">
        <v>4600</v>
      </c>
      <c r="G84" s="362"/>
    </row>
    <row r="85" s="347" customFormat="1" ht="14.25" customHeight="1" spans="1:7">
      <c r="A85" s="362" t="s">
        <v>259</v>
      </c>
      <c r="B85" s="362" t="s">
        <v>2481</v>
      </c>
      <c r="C85" s="362"/>
      <c r="D85" s="362"/>
      <c r="E85" s="362"/>
      <c r="F85" s="362">
        <v>4680</v>
      </c>
      <c r="G85" s="362"/>
    </row>
    <row r="86" s="347" customFormat="1" ht="14.25" customHeight="1" spans="1:7">
      <c r="A86" s="364" t="s">
        <v>259</v>
      </c>
      <c r="B86" s="367" t="s">
        <v>2488</v>
      </c>
      <c r="C86" s="368">
        <v>16610</v>
      </c>
      <c r="D86" s="368">
        <v>16540</v>
      </c>
      <c r="E86" s="368">
        <v>18850</v>
      </c>
      <c r="F86" s="368"/>
      <c r="G86" s="368">
        <v>11220</v>
      </c>
    </row>
    <row r="87" s="347" customFormat="1" ht="14.25" customHeight="1" spans="1:7">
      <c r="A87" s="360" t="s">
        <v>267</v>
      </c>
      <c r="B87" s="361" t="s">
        <v>2195</v>
      </c>
      <c r="C87" s="361">
        <v>15240</v>
      </c>
      <c r="D87" s="361">
        <v>15170</v>
      </c>
      <c r="E87" s="361">
        <v>18260</v>
      </c>
      <c r="F87" s="361">
        <v>3830</v>
      </c>
      <c r="G87" s="369">
        <v>10020</v>
      </c>
    </row>
    <row r="88" s="347" customFormat="1" ht="14.25" customHeight="1" spans="1:7">
      <c r="A88" s="362" t="s">
        <v>267</v>
      </c>
      <c r="B88" s="362" t="s">
        <v>2208</v>
      </c>
      <c r="C88" s="362">
        <v>17310</v>
      </c>
      <c r="D88" s="362">
        <v>17220</v>
      </c>
      <c r="E88" s="362">
        <v>18610</v>
      </c>
      <c r="F88" s="362">
        <v>3990</v>
      </c>
      <c r="G88" s="370">
        <v>11380</v>
      </c>
    </row>
    <row r="89" s="347" customFormat="1" ht="14.25" customHeight="1" spans="1:7">
      <c r="A89" s="362" t="s">
        <v>267</v>
      </c>
      <c r="B89" s="362" t="s">
        <v>2222</v>
      </c>
      <c r="C89" s="362">
        <v>15600</v>
      </c>
      <c r="D89" s="362">
        <v>15550</v>
      </c>
      <c r="E89" s="362">
        <v>19200</v>
      </c>
      <c r="F89" s="362">
        <v>4110</v>
      </c>
      <c r="G89" s="370">
        <v>10270</v>
      </c>
    </row>
    <row r="90" s="347" customFormat="1" ht="14.25" customHeight="1" spans="1:7">
      <c r="A90" s="362" t="s">
        <v>267</v>
      </c>
      <c r="B90" s="362" t="s">
        <v>2234</v>
      </c>
      <c r="C90" s="362">
        <v>17330</v>
      </c>
      <c r="D90" s="362">
        <v>17240</v>
      </c>
      <c r="E90" s="362">
        <v>18570</v>
      </c>
      <c r="F90" s="362">
        <v>4070</v>
      </c>
      <c r="G90" s="370">
        <v>11390</v>
      </c>
    </row>
    <row r="91" s="347" customFormat="1" ht="14.25" customHeight="1" spans="1:7">
      <c r="A91" s="362" t="s">
        <v>267</v>
      </c>
      <c r="B91" s="362" t="s">
        <v>2246</v>
      </c>
      <c r="C91" s="362">
        <v>16330</v>
      </c>
      <c r="D91" s="362">
        <v>16260</v>
      </c>
      <c r="E91" s="362">
        <v>16800</v>
      </c>
      <c r="F91" s="362">
        <v>3410</v>
      </c>
      <c r="G91" s="370">
        <v>10740</v>
      </c>
    </row>
    <row r="92" s="347" customFormat="1" ht="14.25" customHeight="1" spans="1:7">
      <c r="A92" s="362" t="s">
        <v>267</v>
      </c>
      <c r="B92" s="362" t="s">
        <v>2257</v>
      </c>
      <c r="C92" s="362">
        <v>15570</v>
      </c>
      <c r="D92" s="362">
        <v>15500</v>
      </c>
      <c r="E92" s="362">
        <v>17360</v>
      </c>
      <c r="F92" s="362">
        <v>3510</v>
      </c>
      <c r="G92" s="370">
        <v>10240</v>
      </c>
    </row>
    <row r="93" s="347" customFormat="1" ht="14.25" customHeight="1" spans="1:7">
      <c r="A93" s="362" t="s">
        <v>267</v>
      </c>
      <c r="B93" s="362" t="s">
        <v>2268</v>
      </c>
      <c r="C93" s="362">
        <v>14000</v>
      </c>
      <c r="D93" s="362">
        <v>13930</v>
      </c>
      <c r="E93" s="362">
        <v>18200</v>
      </c>
      <c r="F93" s="362">
        <v>3640</v>
      </c>
      <c r="G93" s="370">
        <v>9210</v>
      </c>
    </row>
    <row r="94" s="347" customFormat="1" ht="14.25" customHeight="1" spans="1:7">
      <c r="A94" s="362" t="s">
        <v>267</v>
      </c>
      <c r="B94" s="362" t="s">
        <v>2279</v>
      </c>
      <c r="C94" s="362">
        <v>14530</v>
      </c>
      <c r="D94" s="362">
        <v>14470</v>
      </c>
      <c r="E94" s="362">
        <v>18240</v>
      </c>
      <c r="F94" s="362">
        <v>3180</v>
      </c>
      <c r="G94" s="370">
        <v>9560</v>
      </c>
    </row>
    <row r="95" s="347" customFormat="1" ht="14.25" customHeight="1" spans="1:7">
      <c r="A95" s="362" t="s">
        <v>267</v>
      </c>
      <c r="B95" s="362" t="s">
        <v>2289</v>
      </c>
      <c r="C95" s="362">
        <v>17330</v>
      </c>
      <c r="D95" s="362">
        <v>17260</v>
      </c>
      <c r="E95" s="362">
        <v>18420</v>
      </c>
      <c r="F95" s="362">
        <v>3060</v>
      </c>
      <c r="G95" s="370">
        <v>11410</v>
      </c>
    </row>
    <row r="96" s="347" customFormat="1" ht="14.25" customHeight="1" spans="1:7">
      <c r="A96" s="362" t="s">
        <v>267</v>
      </c>
      <c r="B96" s="362" t="s">
        <v>2299</v>
      </c>
      <c r="C96" s="362">
        <v>15030</v>
      </c>
      <c r="D96" s="362">
        <v>14970</v>
      </c>
      <c r="E96" s="362">
        <v>17580</v>
      </c>
      <c r="F96" s="362">
        <v>2970</v>
      </c>
      <c r="G96" s="370">
        <v>9890</v>
      </c>
    </row>
    <row r="97" s="347" customFormat="1" ht="14.25" customHeight="1" spans="1:7">
      <c r="A97" s="362" t="s">
        <v>267</v>
      </c>
      <c r="B97" s="362" t="s">
        <v>2309</v>
      </c>
      <c r="C97" s="362">
        <v>17400</v>
      </c>
      <c r="D97" s="362">
        <v>17330</v>
      </c>
      <c r="E97" s="362">
        <v>16430</v>
      </c>
      <c r="F97" s="362">
        <v>2950</v>
      </c>
      <c r="G97" s="370">
        <v>11450</v>
      </c>
    </row>
    <row r="98" s="347" customFormat="1" ht="14.25" customHeight="1" spans="1:7">
      <c r="A98" s="362" t="s">
        <v>267</v>
      </c>
      <c r="B98" s="362" t="s">
        <v>2319</v>
      </c>
      <c r="C98" s="362">
        <v>15200</v>
      </c>
      <c r="D98" s="362">
        <v>15120</v>
      </c>
      <c r="E98" s="362">
        <v>17550</v>
      </c>
      <c r="F98" s="362">
        <v>3080</v>
      </c>
      <c r="G98" s="370">
        <v>9990</v>
      </c>
    </row>
    <row r="99" s="347" customFormat="1" ht="14.25" customHeight="1" spans="1:7">
      <c r="A99" s="362" t="s">
        <v>267</v>
      </c>
      <c r="B99" s="362" t="s">
        <v>2329</v>
      </c>
      <c r="C99" s="362">
        <v>17520</v>
      </c>
      <c r="D99" s="362">
        <v>17430</v>
      </c>
      <c r="E99" s="362">
        <v>16350</v>
      </c>
      <c r="F99" s="362">
        <v>3260</v>
      </c>
      <c r="G99" s="370">
        <v>11510</v>
      </c>
    </row>
    <row r="100" s="347" customFormat="1" ht="14.25" customHeight="1" spans="1:7">
      <c r="A100" s="362" t="s">
        <v>267</v>
      </c>
      <c r="B100" s="362" t="s">
        <v>2339</v>
      </c>
      <c r="C100" s="362">
        <v>15340</v>
      </c>
      <c r="D100" s="362">
        <v>15260</v>
      </c>
      <c r="E100" s="362">
        <v>15930</v>
      </c>
      <c r="F100" s="362">
        <v>2740</v>
      </c>
      <c r="G100" s="370">
        <v>10080</v>
      </c>
    </row>
    <row r="101" s="347" customFormat="1" ht="14.25" customHeight="1" spans="1:7">
      <c r="A101" s="362" t="s">
        <v>267</v>
      </c>
      <c r="B101" s="362" t="s">
        <v>2349</v>
      </c>
      <c r="C101" s="362">
        <v>14620</v>
      </c>
      <c r="D101" s="362">
        <v>14560</v>
      </c>
      <c r="E101" s="362">
        <v>15570</v>
      </c>
      <c r="F101" s="362">
        <v>3500</v>
      </c>
      <c r="G101" s="370">
        <v>9630</v>
      </c>
    </row>
    <row r="102" s="347" customFormat="1" ht="14.25" customHeight="1" spans="1:7">
      <c r="A102" s="362" t="s">
        <v>267</v>
      </c>
      <c r="B102" s="362" t="s">
        <v>2359</v>
      </c>
      <c r="C102" s="362">
        <v>13680</v>
      </c>
      <c r="D102" s="362">
        <v>13610</v>
      </c>
      <c r="E102" s="362">
        <v>15690</v>
      </c>
      <c r="F102" s="362">
        <v>2870</v>
      </c>
      <c r="G102" s="370">
        <v>8990</v>
      </c>
    </row>
    <row r="103" s="347" customFormat="1" ht="14.25" customHeight="1" spans="1:7">
      <c r="A103" s="362" t="s">
        <v>267</v>
      </c>
      <c r="B103" s="362" t="s">
        <v>2369</v>
      </c>
      <c r="C103" s="362">
        <v>14620</v>
      </c>
      <c r="D103" s="362">
        <v>14540</v>
      </c>
      <c r="E103" s="362">
        <v>15240</v>
      </c>
      <c r="F103" s="362">
        <v>2840</v>
      </c>
      <c r="G103" s="370">
        <v>9610</v>
      </c>
    </row>
    <row r="104" s="347" customFormat="1" ht="14.25" customHeight="1" spans="1:7">
      <c r="A104" s="362" t="s">
        <v>267</v>
      </c>
      <c r="B104" s="362" t="s">
        <v>2379</v>
      </c>
      <c r="C104" s="362">
        <v>13610</v>
      </c>
      <c r="D104" s="362">
        <v>13540</v>
      </c>
      <c r="E104" s="362">
        <v>15750</v>
      </c>
      <c r="F104" s="362">
        <v>2770</v>
      </c>
      <c r="G104" s="370">
        <v>8940</v>
      </c>
    </row>
    <row r="105" s="347" customFormat="1" ht="14.25" customHeight="1" spans="1:7">
      <c r="A105" s="362" t="s">
        <v>267</v>
      </c>
      <c r="B105" s="362" t="s">
        <v>2389</v>
      </c>
      <c r="C105" s="362">
        <v>13310</v>
      </c>
      <c r="D105" s="362">
        <v>13240</v>
      </c>
      <c r="E105" s="362">
        <v>16280</v>
      </c>
      <c r="F105" s="362">
        <v>3210</v>
      </c>
      <c r="G105" s="370">
        <v>8750</v>
      </c>
    </row>
    <row r="106" s="347" customFormat="1" ht="14.25" customHeight="1" spans="1:7">
      <c r="A106" s="362" t="s">
        <v>267</v>
      </c>
      <c r="B106" s="362" t="s">
        <v>2399</v>
      </c>
      <c r="C106" s="362">
        <v>13010</v>
      </c>
      <c r="D106" s="362">
        <v>12930</v>
      </c>
      <c r="E106" s="362">
        <v>14960</v>
      </c>
      <c r="F106" s="362">
        <v>3530</v>
      </c>
      <c r="G106" s="370">
        <v>8550</v>
      </c>
    </row>
    <row r="107" s="347" customFormat="1" ht="14.25" customHeight="1" spans="1:7">
      <c r="A107" s="362" t="s">
        <v>267</v>
      </c>
      <c r="B107" s="362" t="s">
        <v>2408</v>
      </c>
      <c r="C107" s="362">
        <v>13070</v>
      </c>
      <c r="D107" s="362">
        <v>13000</v>
      </c>
      <c r="E107" s="362">
        <v>15910</v>
      </c>
      <c r="F107" s="362">
        <v>3990</v>
      </c>
      <c r="G107" s="370">
        <v>8580</v>
      </c>
    </row>
    <row r="108" s="347" customFormat="1" ht="14.25" customHeight="1" spans="1:7">
      <c r="A108" s="362" t="s">
        <v>267</v>
      </c>
      <c r="B108" s="362" t="s">
        <v>2416</v>
      </c>
      <c r="C108" s="362">
        <v>12640</v>
      </c>
      <c r="D108" s="362">
        <v>12580</v>
      </c>
      <c r="E108" s="362">
        <v>15730</v>
      </c>
      <c r="F108" s="362"/>
      <c r="G108" s="370">
        <v>8310</v>
      </c>
    </row>
    <row r="109" s="347" customFormat="1" ht="14.25" customHeight="1" spans="1:7">
      <c r="A109" s="362" t="s">
        <v>267</v>
      </c>
      <c r="B109" s="362" t="s">
        <v>2424</v>
      </c>
      <c r="C109" s="362">
        <v>13130</v>
      </c>
      <c r="D109" s="362">
        <v>13070</v>
      </c>
      <c r="E109" s="362">
        <v>15000</v>
      </c>
      <c r="F109" s="362"/>
      <c r="G109" s="370">
        <v>8630</v>
      </c>
    </row>
    <row r="110" s="347" customFormat="1" ht="14.25" customHeight="1" spans="1:7">
      <c r="A110" s="362" t="s">
        <v>267</v>
      </c>
      <c r="B110" s="362" t="s">
        <v>2432</v>
      </c>
      <c r="C110" s="362">
        <v>13560</v>
      </c>
      <c r="D110" s="362">
        <v>13490</v>
      </c>
      <c r="E110" s="362">
        <v>16300</v>
      </c>
      <c r="F110" s="362"/>
      <c r="G110" s="370">
        <v>8920</v>
      </c>
    </row>
    <row r="111" s="347" customFormat="1" ht="14.25" customHeight="1" spans="1:7">
      <c r="A111" s="362" t="s">
        <v>267</v>
      </c>
      <c r="B111" s="362" t="s">
        <v>2440</v>
      </c>
      <c r="C111" s="362">
        <v>12440</v>
      </c>
      <c r="D111" s="362">
        <v>12380</v>
      </c>
      <c r="E111" s="362">
        <v>17850</v>
      </c>
      <c r="F111" s="362"/>
      <c r="G111" s="370">
        <v>8180</v>
      </c>
    </row>
    <row r="112" s="347" customFormat="1" ht="14.25" customHeight="1" spans="1:7">
      <c r="A112" s="362" t="s">
        <v>267</v>
      </c>
      <c r="B112" s="362" t="s">
        <v>2447</v>
      </c>
      <c r="C112" s="362">
        <v>13260</v>
      </c>
      <c r="D112" s="362">
        <v>13180</v>
      </c>
      <c r="E112" s="362">
        <v>19740</v>
      </c>
      <c r="F112" s="362"/>
      <c r="G112" s="370">
        <v>8710</v>
      </c>
    </row>
    <row r="113" s="347" customFormat="1" ht="14.25" customHeight="1" spans="1:7">
      <c r="A113" s="362" t="s">
        <v>267</v>
      </c>
      <c r="B113" s="362" t="s">
        <v>2454</v>
      </c>
      <c r="C113" s="362">
        <v>15520</v>
      </c>
      <c r="D113" s="362">
        <v>15450</v>
      </c>
      <c r="E113" s="362"/>
      <c r="F113" s="362"/>
      <c r="G113" s="370">
        <v>10210</v>
      </c>
    </row>
    <row r="114" s="347" customFormat="1" ht="14.25" customHeight="1" spans="1:7">
      <c r="A114" s="362" t="s">
        <v>267</v>
      </c>
      <c r="B114" s="362" t="s">
        <v>2461</v>
      </c>
      <c r="C114" s="362">
        <v>13110</v>
      </c>
      <c r="D114" s="362">
        <v>13050</v>
      </c>
      <c r="E114" s="362"/>
      <c r="F114" s="362"/>
      <c r="G114" s="370">
        <v>8620</v>
      </c>
    </row>
    <row r="115" s="347" customFormat="1" ht="14.25" customHeight="1" spans="1:7">
      <c r="A115" s="362" t="s">
        <v>267</v>
      </c>
      <c r="B115" s="362" t="s">
        <v>2468</v>
      </c>
      <c r="C115" s="362">
        <v>12460</v>
      </c>
      <c r="D115" s="362">
        <v>12390</v>
      </c>
      <c r="E115" s="362"/>
      <c r="F115" s="362"/>
      <c r="G115" s="370">
        <v>8190</v>
      </c>
    </row>
    <row r="116" s="347" customFormat="1" ht="14.25" customHeight="1" spans="1:7">
      <c r="A116" s="362" t="s">
        <v>267</v>
      </c>
      <c r="B116" s="362" t="s">
        <v>2475</v>
      </c>
      <c r="C116" s="362">
        <v>13580</v>
      </c>
      <c r="D116" s="362">
        <v>13520</v>
      </c>
      <c r="E116" s="362"/>
      <c r="F116" s="362"/>
      <c r="G116" s="370">
        <v>8930</v>
      </c>
    </row>
    <row r="117" s="347" customFormat="1" ht="14.25" customHeight="1" spans="1:7">
      <c r="A117" s="362" t="s">
        <v>267</v>
      </c>
      <c r="B117" s="362" t="s">
        <v>2482</v>
      </c>
      <c r="C117" s="362">
        <v>17120</v>
      </c>
      <c r="D117" s="362">
        <v>17040</v>
      </c>
      <c r="E117" s="362"/>
      <c r="F117" s="362"/>
      <c r="G117" s="370">
        <v>11260</v>
      </c>
    </row>
    <row r="118" s="347" customFormat="1" ht="14.25" customHeight="1" spans="1:7">
      <c r="A118" s="362" t="s">
        <v>267</v>
      </c>
      <c r="B118" s="362" t="s">
        <v>2489</v>
      </c>
      <c r="C118" s="362">
        <v>14860</v>
      </c>
      <c r="D118" s="362">
        <v>14790</v>
      </c>
      <c r="E118" s="362"/>
      <c r="F118" s="362"/>
      <c r="G118" s="370">
        <v>9780</v>
      </c>
    </row>
    <row r="119" s="347" customFormat="1" ht="14.25" customHeight="1" spans="1:7">
      <c r="A119" s="362" t="s">
        <v>267</v>
      </c>
      <c r="B119" s="362" t="s">
        <v>2494</v>
      </c>
      <c r="C119" s="362">
        <v>16470</v>
      </c>
      <c r="D119" s="362">
        <v>16400</v>
      </c>
      <c r="E119" s="362"/>
      <c r="F119" s="362"/>
      <c r="G119" s="370">
        <v>10840</v>
      </c>
    </row>
    <row r="120" s="347" customFormat="1" ht="14.25" customHeight="1" spans="1:7">
      <c r="A120" s="362" t="s">
        <v>267</v>
      </c>
      <c r="B120" s="362" t="s">
        <v>2499</v>
      </c>
      <c r="C120" s="362"/>
      <c r="D120" s="362"/>
      <c r="E120" s="362"/>
      <c r="F120" s="362">
        <v>4160</v>
      </c>
      <c r="G120" s="370"/>
    </row>
    <row r="121" s="347" customFormat="1" ht="14.25" customHeight="1" spans="1:7">
      <c r="A121" s="362" t="s">
        <v>267</v>
      </c>
      <c r="B121" s="362" t="s">
        <v>2504</v>
      </c>
      <c r="C121" s="362"/>
      <c r="D121" s="362"/>
      <c r="E121" s="362"/>
      <c r="F121" s="362">
        <v>3880</v>
      </c>
      <c r="G121" s="370"/>
    </row>
    <row r="122" s="347" customFormat="1" ht="14.25" customHeight="1" spans="1:7">
      <c r="A122" s="362" t="s">
        <v>267</v>
      </c>
      <c r="B122" s="362" t="s">
        <v>2509</v>
      </c>
      <c r="C122" s="362">
        <v>13750</v>
      </c>
      <c r="D122" s="362">
        <v>13680</v>
      </c>
      <c r="E122" s="362">
        <v>16460</v>
      </c>
      <c r="F122" s="362">
        <v>2880</v>
      </c>
      <c r="G122" s="370">
        <v>9040</v>
      </c>
    </row>
    <row r="123" s="347" customFormat="1" ht="14.25" customHeight="1" spans="1:7">
      <c r="A123" s="362" t="s">
        <v>267</v>
      </c>
      <c r="B123" s="362" t="s">
        <v>2514</v>
      </c>
      <c r="C123" s="362">
        <v>13590</v>
      </c>
      <c r="D123" s="362">
        <v>13520</v>
      </c>
      <c r="E123" s="362">
        <v>16290</v>
      </c>
      <c r="F123" s="362">
        <v>2790</v>
      </c>
      <c r="G123" s="370">
        <v>8930</v>
      </c>
    </row>
    <row r="124" s="347" customFormat="1" ht="14.25" customHeight="1" spans="1:7">
      <c r="A124" s="362" t="s">
        <v>267</v>
      </c>
      <c r="B124" s="362" t="s">
        <v>2519</v>
      </c>
      <c r="C124" s="362">
        <v>13400</v>
      </c>
      <c r="D124" s="362">
        <v>13320</v>
      </c>
      <c r="E124" s="362">
        <v>16100</v>
      </c>
      <c r="F124" s="362">
        <v>2320</v>
      </c>
      <c r="G124" s="370">
        <v>8800</v>
      </c>
    </row>
    <row r="125" s="347" customFormat="1" ht="14.25" customHeight="1" spans="1:7">
      <c r="A125" s="362" t="s">
        <v>267</v>
      </c>
      <c r="B125" s="362" t="s">
        <v>2524</v>
      </c>
      <c r="C125" s="362">
        <v>12860</v>
      </c>
      <c r="D125" s="362">
        <v>12790</v>
      </c>
      <c r="E125" s="362">
        <v>15370</v>
      </c>
      <c r="F125" s="362">
        <v>2280</v>
      </c>
      <c r="G125" s="370">
        <v>8450</v>
      </c>
    </row>
    <row r="126" s="347" customFormat="1" ht="14.25" customHeight="1" spans="1:7">
      <c r="A126" s="371" t="s">
        <v>267</v>
      </c>
      <c r="B126" s="366" t="s">
        <v>2529</v>
      </c>
      <c r="C126" s="366">
        <v>12960</v>
      </c>
      <c r="D126" s="366">
        <v>12890</v>
      </c>
      <c r="E126" s="366">
        <v>15530</v>
      </c>
      <c r="F126" s="366">
        <v>2910</v>
      </c>
      <c r="G126" s="372">
        <v>8520</v>
      </c>
    </row>
    <row r="127" s="347" customFormat="1" ht="14.25" customHeight="1" spans="1:7">
      <c r="A127" s="360" t="s">
        <v>273</v>
      </c>
      <c r="B127" s="361" t="s">
        <v>2196</v>
      </c>
      <c r="C127" s="362">
        <v>12280</v>
      </c>
      <c r="D127" s="362">
        <v>12250</v>
      </c>
      <c r="E127" s="362">
        <v>15130</v>
      </c>
      <c r="F127" s="362">
        <v>2710</v>
      </c>
      <c r="G127" s="362">
        <v>7870</v>
      </c>
    </row>
    <row r="128" s="347" customFormat="1" ht="14.25" customHeight="1" spans="1:7">
      <c r="A128" s="362" t="s">
        <v>273</v>
      </c>
      <c r="B128" s="362" t="s">
        <v>2209</v>
      </c>
      <c r="C128" s="362">
        <v>13180</v>
      </c>
      <c r="D128" s="362">
        <v>13150</v>
      </c>
      <c r="E128" s="362">
        <v>16190</v>
      </c>
      <c r="F128" s="362">
        <v>2820</v>
      </c>
      <c r="G128" s="362">
        <v>8460</v>
      </c>
    </row>
    <row r="129" s="347" customFormat="1" ht="14.25" customHeight="1" spans="1:7">
      <c r="A129" s="362" t="s">
        <v>273</v>
      </c>
      <c r="B129" s="362" t="s">
        <v>2223</v>
      </c>
      <c r="C129" s="362">
        <v>10950</v>
      </c>
      <c r="D129" s="362">
        <v>10920</v>
      </c>
      <c r="E129" s="362">
        <v>13820</v>
      </c>
      <c r="F129" s="362">
        <v>2500</v>
      </c>
      <c r="G129" s="362">
        <v>7020</v>
      </c>
    </row>
    <row r="130" s="347" customFormat="1" ht="14.25" customHeight="1" spans="1:7">
      <c r="A130" s="362" t="s">
        <v>273</v>
      </c>
      <c r="B130" s="362" t="s">
        <v>2235</v>
      </c>
      <c r="C130" s="362">
        <v>10910</v>
      </c>
      <c r="D130" s="362">
        <v>10860</v>
      </c>
      <c r="E130" s="362">
        <v>13730</v>
      </c>
      <c r="F130" s="362">
        <v>2760</v>
      </c>
      <c r="G130" s="362">
        <v>6990</v>
      </c>
    </row>
    <row r="131" s="347" customFormat="1" ht="14.25" customHeight="1" spans="1:7">
      <c r="A131" s="362" t="s">
        <v>273</v>
      </c>
      <c r="B131" s="362" t="s">
        <v>2247</v>
      </c>
      <c r="C131" s="362">
        <v>12910</v>
      </c>
      <c r="D131" s="362">
        <v>12870</v>
      </c>
      <c r="E131" s="362">
        <v>15720</v>
      </c>
      <c r="F131" s="362">
        <v>2750</v>
      </c>
      <c r="G131" s="362">
        <v>8280</v>
      </c>
    </row>
    <row r="132" s="347" customFormat="1" ht="14.25" customHeight="1" spans="1:7">
      <c r="A132" s="362" t="s">
        <v>273</v>
      </c>
      <c r="B132" s="362" t="s">
        <v>2258</v>
      </c>
      <c r="C132" s="362">
        <v>11910</v>
      </c>
      <c r="D132" s="362">
        <v>11860</v>
      </c>
      <c r="E132" s="362">
        <v>14730</v>
      </c>
      <c r="F132" s="362">
        <v>2360</v>
      </c>
      <c r="G132" s="362">
        <v>7630</v>
      </c>
    </row>
    <row r="133" s="347" customFormat="1" ht="14.25" customHeight="1" spans="1:7">
      <c r="A133" s="362" t="s">
        <v>273</v>
      </c>
      <c r="B133" s="362" t="s">
        <v>2269</v>
      </c>
      <c r="C133" s="362">
        <v>12270</v>
      </c>
      <c r="D133" s="362">
        <v>12210</v>
      </c>
      <c r="E133" s="362">
        <v>15010</v>
      </c>
      <c r="F133" s="362">
        <v>2580</v>
      </c>
      <c r="G133" s="362">
        <v>7860</v>
      </c>
    </row>
    <row r="134" s="347" customFormat="1" ht="14.25" customHeight="1" spans="1:7">
      <c r="A134" s="362" t="s">
        <v>273</v>
      </c>
      <c r="B134" s="362" t="s">
        <v>2280</v>
      </c>
      <c r="C134" s="362">
        <v>10800</v>
      </c>
      <c r="D134" s="362">
        <v>10780</v>
      </c>
      <c r="E134" s="362">
        <v>13640</v>
      </c>
      <c r="F134" s="362">
        <v>2110</v>
      </c>
      <c r="G134" s="362">
        <v>6930</v>
      </c>
    </row>
    <row r="135" s="347" customFormat="1" ht="14.25" customHeight="1" spans="1:7">
      <c r="A135" s="362" t="s">
        <v>273</v>
      </c>
      <c r="B135" s="362" t="s">
        <v>2290</v>
      </c>
      <c r="C135" s="362">
        <v>10430</v>
      </c>
      <c r="D135" s="362">
        <v>10390</v>
      </c>
      <c r="E135" s="362">
        <v>13140</v>
      </c>
      <c r="F135" s="362">
        <v>2240</v>
      </c>
      <c r="G135" s="362">
        <v>6680</v>
      </c>
    </row>
    <row r="136" s="347" customFormat="1" ht="14.25" customHeight="1" spans="1:7">
      <c r="A136" s="362" t="s">
        <v>273</v>
      </c>
      <c r="B136" s="362" t="s">
        <v>2300</v>
      </c>
      <c r="C136" s="362">
        <v>11930</v>
      </c>
      <c r="D136" s="362">
        <v>11880</v>
      </c>
      <c r="E136" s="362">
        <v>14770</v>
      </c>
      <c r="F136" s="362">
        <v>1970</v>
      </c>
      <c r="G136" s="362">
        <v>7640</v>
      </c>
    </row>
    <row r="137" s="347" customFormat="1" ht="14.25" customHeight="1" spans="1:7">
      <c r="A137" s="362" t="s">
        <v>273</v>
      </c>
      <c r="B137" s="362" t="s">
        <v>2310</v>
      </c>
      <c r="C137" s="362">
        <v>10470</v>
      </c>
      <c r="D137" s="362">
        <v>10430</v>
      </c>
      <c r="E137" s="362">
        <v>13190</v>
      </c>
      <c r="F137" s="362">
        <v>1990</v>
      </c>
      <c r="G137" s="362">
        <v>6710</v>
      </c>
    </row>
    <row r="138" s="347" customFormat="1" ht="14.25" customHeight="1" spans="1:7">
      <c r="A138" s="362" t="s">
        <v>273</v>
      </c>
      <c r="B138" s="362" t="s">
        <v>2320</v>
      </c>
      <c r="C138" s="362">
        <v>10410</v>
      </c>
      <c r="D138" s="362">
        <v>10380</v>
      </c>
      <c r="E138" s="362">
        <v>13130</v>
      </c>
      <c r="F138" s="362">
        <v>2030</v>
      </c>
      <c r="G138" s="362">
        <v>6680</v>
      </c>
    </row>
    <row r="139" s="347" customFormat="1" ht="14.25" customHeight="1" spans="1:7">
      <c r="A139" s="362" t="s">
        <v>273</v>
      </c>
      <c r="B139" s="362" t="s">
        <v>2330</v>
      </c>
      <c r="C139" s="362">
        <v>9460</v>
      </c>
      <c r="D139" s="362">
        <v>9410</v>
      </c>
      <c r="E139" s="362">
        <v>12050</v>
      </c>
      <c r="F139" s="362">
        <v>2140</v>
      </c>
      <c r="G139" s="362">
        <v>6050</v>
      </c>
    </row>
    <row r="140" s="347" customFormat="1" ht="14.25" customHeight="1" spans="1:7">
      <c r="A140" s="362" t="s">
        <v>273</v>
      </c>
      <c r="B140" s="362" t="s">
        <v>2340</v>
      </c>
      <c r="C140" s="362">
        <v>11030</v>
      </c>
      <c r="D140" s="362">
        <v>10980</v>
      </c>
      <c r="E140" s="362">
        <v>13880</v>
      </c>
      <c r="F140" s="362">
        <v>2210</v>
      </c>
      <c r="G140" s="362">
        <v>7060</v>
      </c>
    </row>
    <row r="141" s="347" customFormat="1" ht="14.25" customHeight="1" spans="1:7">
      <c r="A141" s="362" t="s">
        <v>273</v>
      </c>
      <c r="B141" s="362" t="s">
        <v>2350</v>
      </c>
      <c r="C141" s="362">
        <v>11200</v>
      </c>
      <c r="D141" s="362">
        <v>11150</v>
      </c>
      <c r="E141" s="362">
        <v>14100</v>
      </c>
      <c r="F141" s="362">
        <v>2470</v>
      </c>
      <c r="G141" s="362">
        <v>7170</v>
      </c>
    </row>
    <row r="142" s="347" customFormat="1" ht="14.25" customHeight="1" spans="1:7">
      <c r="A142" s="362" t="s">
        <v>273</v>
      </c>
      <c r="B142" s="362" t="s">
        <v>2360</v>
      </c>
      <c r="C142" s="362">
        <v>10780</v>
      </c>
      <c r="D142" s="362">
        <v>10730</v>
      </c>
      <c r="E142" s="362">
        <v>13540</v>
      </c>
      <c r="F142" s="362">
        <v>2280</v>
      </c>
      <c r="G142" s="362">
        <v>6900</v>
      </c>
    </row>
    <row r="143" s="347" customFormat="1" ht="14.25" customHeight="1" spans="1:7">
      <c r="A143" s="362" t="s">
        <v>273</v>
      </c>
      <c r="B143" s="362" t="s">
        <v>2370</v>
      </c>
      <c r="C143" s="362">
        <v>11550</v>
      </c>
      <c r="D143" s="362">
        <v>11490</v>
      </c>
      <c r="E143" s="362">
        <v>14480</v>
      </c>
      <c r="F143" s="362">
        <v>2070</v>
      </c>
      <c r="G143" s="362">
        <v>7390</v>
      </c>
    </row>
    <row r="144" s="347" customFormat="1" ht="14.25" customHeight="1" spans="1:7">
      <c r="A144" s="362" t="s">
        <v>273</v>
      </c>
      <c r="B144" s="362" t="s">
        <v>2380</v>
      </c>
      <c r="C144" s="362">
        <v>10720</v>
      </c>
      <c r="D144" s="362">
        <v>10680</v>
      </c>
      <c r="E144" s="362">
        <v>13480</v>
      </c>
      <c r="F144" s="362">
        <v>2440</v>
      </c>
      <c r="G144" s="362">
        <v>6870</v>
      </c>
    </row>
    <row r="145" s="347" customFormat="1" ht="14.25" customHeight="1" spans="1:7">
      <c r="A145" s="362" t="s">
        <v>273</v>
      </c>
      <c r="B145" s="362" t="s">
        <v>2390</v>
      </c>
      <c r="C145" s="362">
        <v>10340</v>
      </c>
      <c r="D145" s="362">
        <v>10290</v>
      </c>
      <c r="E145" s="362">
        <v>12880</v>
      </c>
      <c r="F145" s="362">
        <v>2650</v>
      </c>
      <c r="G145" s="362">
        <v>6620</v>
      </c>
    </row>
    <row r="146" s="347" customFormat="1" ht="14.25" customHeight="1" spans="1:7">
      <c r="A146" s="362" t="s">
        <v>273</v>
      </c>
      <c r="B146" s="362" t="s">
        <v>2400</v>
      </c>
      <c r="C146" s="362">
        <v>11890</v>
      </c>
      <c r="D146" s="362">
        <v>11830</v>
      </c>
      <c r="E146" s="362">
        <v>14670</v>
      </c>
      <c r="F146" s="362"/>
      <c r="G146" s="362">
        <v>7610</v>
      </c>
    </row>
    <row r="147" s="347" customFormat="1" ht="14.25" customHeight="1" spans="1:7">
      <c r="A147" s="362" t="s">
        <v>273</v>
      </c>
      <c r="B147" s="362" t="s">
        <v>2409</v>
      </c>
      <c r="C147" s="362">
        <v>12650</v>
      </c>
      <c r="D147" s="362">
        <v>12600</v>
      </c>
      <c r="E147" s="362">
        <v>15440</v>
      </c>
      <c r="F147" s="362"/>
      <c r="G147" s="362">
        <v>8110</v>
      </c>
    </row>
    <row r="148" s="347" customFormat="1" ht="14.25" customHeight="1" spans="1:7">
      <c r="A148" s="362" t="s">
        <v>273</v>
      </c>
      <c r="B148" s="362" t="s">
        <v>2417</v>
      </c>
      <c r="C148" s="362">
        <v>10370</v>
      </c>
      <c r="D148" s="362">
        <v>10310</v>
      </c>
      <c r="E148" s="362">
        <v>12970</v>
      </c>
      <c r="F148" s="362"/>
      <c r="G148" s="362">
        <v>6630</v>
      </c>
    </row>
    <row r="149" s="347" customFormat="1" ht="14.25" customHeight="1" spans="1:7">
      <c r="A149" s="362" t="s">
        <v>273</v>
      </c>
      <c r="B149" s="362" t="s">
        <v>2425</v>
      </c>
      <c r="C149" s="362">
        <v>11600</v>
      </c>
      <c r="D149" s="362">
        <v>11560</v>
      </c>
      <c r="E149" s="362">
        <v>14540</v>
      </c>
      <c r="F149" s="362">
        <v>2390</v>
      </c>
      <c r="G149" s="362">
        <v>7430</v>
      </c>
    </row>
    <row r="150" s="347" customFormat="1" ht="14.25" customHeight="1" spans="1:7">
      <c r="A150" s="362" t="s">
        <v>273</v>
      </c>
      <c r="B150" s="362" t="s">
        <v>2433</v>
      </c>
      <c r="C150" s="362">
        <v>9950</v>
      </c>
      <c r="D150" s="362">
        <v>9890</v>
      </c>
      <c r="E150" s="362">
        <v>12590</v>
      </c>
      <c r="F150" s="362">
        <v>1970</v>
      </c>
      <c r="G150" s="362">
        <v>6360</v>
      </c>
    </row>
    <row r="151" s="347" customFormat="1" ht="14.25" customHeight="1" spans="1:7">
      <c r="A151" s="362" t="s">
        <v>273</v>
      </c>
      <c r="B151" s="362" t="s">
        <v>2441</v>
      </c>
      <c r="C151" s="362">
        <v>10700</v>
      </c>
      <c r="D151" s="362">
        <v>10650</v>
      </c>
      <c r="E151" s="362">
        <v>13420</v>
      </c>
      <c r="F151" s="362">
        <v>2020</v>
      </c>
      <c r="G151" s="362">
        <v>6850</v>
      </c>
    </row>
    <row r="152" s="347" customFormat="1" ht="14.25" customHeight="1" spans="1:7">
      <c r="A152" s="362" t="s">
        <v>273</v>
      </c>
      <c r="B152" s="362" t="s">
        <v>2448</v>
      </c>
      <c r="C152" s="362">
        <v>10310</v>
      </c>
      <c r="D152" s="362">
        <v>10260</v>
      </c>
      <c r="E152" s="362">
        <v>12820</v>
      </c>
      <c r="F152" s="362">
        <v>1980</v>
      </c>
      <c r="G152" s="362">
        <v>6600</v>
      </c>
    </row>
    <row r="153" s="347" customFormat="1" ht="14.25" customHeight="1" spans="1:7">
      <c r="A153" s="362" t="s">
        <v>273</v>
      </c>
      <c r="B153" s="362" t="s">
        <v>2455</v>
      </c>
      <c r="C153" s="362">
        <v>10880</v>
      </c>
      <c r="D153" s="362">
        <v>10820</v>
      </c>
      <c r="E153" s="362">
        <v>13660</v>
      </c>
      <c r="F153" s="362">
        <v>2260</v>
      </c>
      <c r="G153" s="362">
        <v>6970</v>
      </c>
    </row>
    <row r="154" s="347" customFormat="1" ht="14.25" customHeight="1" spans="1:7">
      <c r="A154" s="362" t="s">
        <v>273</v>
      </c>
      <c r="B154" s="362" t="s">
        <v>2462</v>
      </c>
      <c r="C154" s="362">
        <v>11220</v>
      </c>
      <c r="D154" s="362">
        <v>11160</v>
      </c>
      <c r="E154" s="362">
        <v>14130</v>
      </c>
      <c r="F154" s="362">
        <v>2230</v>
      </c>
      <c r="G154" s="362">
        <v>7180</v>
      </c>
    </row>
    <row r="155" s="347" customFormat="1" ht="14.25" customHeight="1" spans="1:7">
      <c r="A155" s="362" t="s">
        <v>273</v>
      </c>
      <c r="B155" s="362" t="s">
        <v>2469</v>
      </c>
      <c r="C155" s="362">
        <v>10430</v>
      </c>
      <c r="D155" s="362">
        <v>10380</v>
      </c>
      <c r="E155" s="362">
        <v>13140</v>
      </c>
      <c r="F155" s="362">
        <v>2080</v>
      </c>
      <c r="G155" s="362">
        <v>6650</v>
      </c>
    </row>
    <row r="156" s="347" customFormat="1" ht="14.25" customHeight="1" spans="1:7">
      <c r="A156" s="362" t="s">
        <v>273</v>
      </c>
      <c r="B156" s="362" t="s">
        <v>2476</v>
      </c>
      <c r="C156" s="362">
        <v>10440</v>
      </c>
      <c r="D156" s="362">
        <v>10400</v>
      </c>
      <c r="E156" s="362">
        <v>13150</v>
      </c>
      <c r="F156" s="362">
        <v>2490</v>
      </c>
      <c r="G156" s="362">
        <v>6690</v>
      </c>
    </row>
    <row r="157" s="347" customFormat="1" ht="14.25" customHeight="1" spans="1:7">
      <c r="A157" s="362" t="s">
        <v>273</v>
      </c>
      <c r="B157" s="362" t="s">
        <v>2483</v>
      </c>
      <c r="C157" s="362">
        <v>10970</v>
      </c>
      <c r="D157" s="362">
        <v>10920</v>
      </c>
      <c r="E157" s="362">
        <v>13840</v>
      </c>
      <c r="F157" s="362">
        <v>2420</v>
      </c>
      <c r="G157" s="362">
        <v>7020</v>
      </c>
    </row>
    <row r="158" s="347" customFormat="1" ht="14.25" customHeight="1" spans="1:7">
      <c r="A158" s="362" t="s">
        <v>273</v>
      </c>
      <c r="B158" s="362" t="s">
        <v>2490</v>
      </c>
      <c r="C158" s="362">
        <v>9590</v>
      </c>
      <c r="D158" s="362">
        <v>9540</v>
      </c>
      <c r="E158" s="362">
        <v>12210</v>
      </c>
      <c r="F158" s="362">
        <v>2100</v>
      </c>
      <c r="G158" s="362">
        <v>6130</v>
      </c>
    </row>
    <row r="159" s="347" customFormat="1" ht="14.25" customHeight="1" spans="1:7">
      <c r="A159" s="362" t="s">
        <v>273</v>
      </c>
      <c r="B159" s="362" t="s">
        <v>2495</v>
      </c>
      <c r="C159" s="362">
        <v>11190</v>
      </c>
      <c r="D159" s="362">
        <v>11140</v>
      </c>
      <c r="E159" s="362">
        <v>14090</v>
      </c>
      <c r="F159" s="362">
        <v>2470</v>
      </c>
      <c r="G159" s="362">
        <v>7170</v>
      </c>
    </row>
    <row r="160" s="347" customFormat="1" ht="14.25" customHeight="1" spans="1:7">
      <c r="A160" s="362" t="s">
        <v>273</v>
      </c>
      <c r="B160" s="362" t="s">
        <v>2500</v>
      </c>
      <c r="C160" s="362">
        <v>11180</v>
      </c>
      <c r="D160" s="362">
        <v>11140</v>
      </c>
      <c r="E160" s="362">
        <v>14050</v>
      </c>
      <c r="F160" s="362">
        <v>2270</v>
      </c>
      <c r="G160" s="362">
        <v>7170</v>
      </c>
    </row>
    <row r="161" s="347" customFormat="1" ht="14.25" customHeight="1" spans="1:7">
      <c r="A161" s="362" t="s">
        <v>273</v>
      </c>
      <c r="B161" s="362" t="s">
        <v>2505</v>
      </c>
      <c r="C161" s="362">
        <v>11160</v>
      </c>
      <c r="D161" s="362">
        <v>11120</v>
      </c>
      <c r="E161" s="362">
        <v>14020</v>
      </c>
      <c r="F161" s="362">
        <v>2150</v>
      </c>
      <c r="G161" s="362">
        <v>7160</v>
      </c>
    </row>
    <row r="162" s="347" customFormat="1" ht="14.25" customHeight="1" spans="1:7">
      <c r="A162" s="362" t="s">
        <v>273</v>
      </c>
      <c r="B162" s="362" t="s">
        <v>2510</v>
      </c>
      <c r="C162" s="362">
        <v>9620</v>
      </c>
      <c r="D162" s="362">
        <v>9570</v>
      </c>
      <c r="E162" s="362">
        <v>12320</v>
      </c>
      <c r="F162" s="362">
        <v>2010</v>
      </c>
      <c r="G162" s="362">
        <v>6160</v>
      </c>
    </row>
    <row r="163" s="347" customFormat="1" ht="14.25" customHeight="1" spans="1:7">
      <c r="A163" s="362" t="s">
        <v>273</v>
      </c>
      <c r="B163" s="362" t="s">
        <v>2515</v>
      </c>
      <c r="C163" s="362">
        <v>9320</v>
      </c>
      <c r="D163" s="362">
        <v>9270</v>
      </c>
      <c r="E163" s="362">
        <v>11790</v>
      </c>
      <c r="F163" s="362">
        <v>1920</v>
      </c>
      <c r="G163" s="362">
        <v>5960</v>
      </c>
    </row>
    <row r="164" s="347" customFormat="1" ht="14.25" customHeight="1" spans="1:7">
      <c r="A164" s="362" t="s">
        <v>273</v>
      </c>
      <c r="B164" s="362" t="s">
        <v>2520</v>
      </c>
      <c r="C164" s="362"/>
      <c r="D164" s="362"/>
      <c r="E164" s="362"/>
      <c r="F164" s="362">
        <v>1980</v>
      </c>
      <c r="G164" s="362"/>
    </row>
    <row r="165" s="347" customFormat="1" ht="14.25" customHeight="1" spans="1:7">
      <c r="A165" s="362" t="s">
        <v>273</v>
      </c>
      <c r="B165" s="362" t="s">
        <v>2525</v>
      </c>
      <c r="C165" s="362">
        <v>11060</v>
      </c>
      <c r="D165" s="362">
        <v>11030</v>
      </c>
      <c r="E165" s="362">
        <v>13850</v>
      </c>
      <c r="F165" s="362">
        <v>2170</v>
      </c>
      <c r="G165" s="362">
        <v>7090</v>
      </c>
    </row>
    <row r="166" s="347" customFormat="1" ht="14.25" customHeight="1" spans="1:7">
      <c r="A166" s="362" t="s">
        <v>273</v>
      </c>
      <c r="B166" s="362" t="s">
        <v>2530</v>
      </c>
      <c r="C166" s="362">
        <v>11050</v>
      </c>
      <c r="D166" s="362">
        <v>11010</v>
      </c>
      <c r="E166" s="362">
        <v>13920</v>
      </c>
      <c r="F166" s="362">
        <v>2140</v>
      </c>
      <c r="G166" s="362">
        <v>7080</v>
      </c>
    </row>
    <row r="167" s="347" customFormat="1" ht="14.25" customHeight="1" spans="1:7">
      <c r="A167" s="362" t="s">
        <v>273</v>
      </c>
      <c r="B167" s="362" t="s">
        <v>2534</v>
      </c>
      <c r="C167" s="362">
        <v>10930</v>
      </c>
      <c r="D167" s="362">
        <v>10890</v>
      </c>
      <c r="E167" s="362">
        <v>13790</v>
      </c>
      <c r="F167" s="362">
        <v>2010</v>
      </c>
      <c r="G167" s="362">
        <v>7000</v>
      </c>
    </row>
    <row r="168" s="347" customFormat="1" ht="14.25" customHeight="1" spans="1:7">
      <c r="A168" s="362" t="s">
        <v>273</v>
      </c>
      <c r="B168" s="362" t="s">
        <v>2538</v>
      </c>
      <c r="C168" s="362">
        <v>9420</v>
      </c>
      <c r="D168" s="362">
        <v>9380</v>
      </c>
      <c r="E168" s="362">
        <v>11970</v>
      </c>
      <c r="F168" s="362"/>
      <c r="G168" s="362">
        <v>6040</v>
      </c>
    </row>
    <row r="169" s="347" customFormat="1" ht="14.25" customHeight="1" spans="1:7">
      <c r="A169" s="362" t="s">
        <v>273</v>
      </c>
      <c r="B169" s="362" t="s">
        <v>2542</v>
      </c>
      <c r="C169" s="362"/>
      <c r="D169" s="362"/>
      <c r="E169" s="362"/>
      <c r="F169" s="362">
        <v>2880</v>
      </c>
      <c r="G169" s="362"/>
    </row>
    <row r="170" s="347" customFormat="1" ht="14.25" customHeight="1" spans="1:7">
      <c r="A170" s="362" t="s">
        <v>273</v>
      </c>
      <c r="B170" s="362" t="s">
        <v>2546</v>
      </c>
      <c r="C170" s="362"/>
      <c r="D170" s="362"/>
      <c r="E170" s="362"/>
      <c r="F170" s="362">
        <v>2880</v>
      </c>
      <c r="G170" s="362"/>
    </row>
    <row r="171" s="347" customFormat="1" ht="14.25" customHeight="1" spans="1:7">
      <c r="A171" s="362" t="s">
        <v>273</v>
      </c>
      <c r="B171" s="362" t="s">
        <v>2549</v>
      </c>
      <c r="C171" s="362"/>
      <c r="D171" s="362"/>
      <c r="E171" s="362"/>
      <c r="F171" s="362">
        <v>2880</v>
      </c>
      <c r="G171" s="362"/>
    </row>
    <row r="172" s="347" customFormat="1" ht="14.25" customHeight="1" spans="1:7">
      <c r="A172" s="362" t="s">
        <v>273</v>
      </c>
      <c r="B172" s="362" t="s">
        <v>2551</v>
      </c>
      <c r="C172" s="362"/>
      <c r="D172" s="362"/>
      <c r="E172" s="362"/>
      <c r="F172" s="362">
        <v>2880</v>
      </c>
      <c r="G172" s="362"/>
    </row>
    <row r="173" s="347" customFormat="1" ht="14.25" customHeight="1" spans="1:7">
      <c r="A173" s="362" t="s">
        <v>273</v>
      </c>
      <c r="B173" s="362" t="s">
        <v>2553</v>
      </c>
      <c r="C173" s="362"/>
      <c r="D173" s="362"/>
      <c r="E173" s="362"/>
      <c r="F173" s="362">
        <v>2150</v>
      </c>
      <c r="G173" s="362"/>
    </row>
    <row r="174" s="347" customFormat="1" ht="14.25" customHeight="1" spans="1:7">
      <c r="A174" s="362" t="s">
        <v>273</v>
      </c>
      <c r="B174" s="362" t="s">
        <v>2555</v>
      </c>
      <c r="C174" s="362"/>
      <c r="D174" s="362"/>
      <c r="E174" s="362"/>
      <c r="F174" s="362">
        <v>2030</v>
      </c>
      <c r="G174" s="362"/>
    </row>
    <row r="175" s="347" customFormat="1" ht="14.25" customHeight="1" spans="1:7">
      <c r="A175" s="362" t="s">
        <v>273</v>
      </c>
      <c r="B175" s="362" t="s">
        <v>2557</v>
      </c>
      <c r="C175" s="362"/>
      <c r="D175" s="362"/>
      <c r="E175" s="362"/>
      <c r="F175" s="362">
        <v>2780</v>
      </c>
      <c r="G175" s="362"/>
    </row>
    <row r="176" s="347" customFormat="1" ht="14.25" customHeight="1" spans="1:7">
      <c r="A176" s="362" t="s">
        <v>273</v>
      </c>
      <c r="B176" s="362" t="s">
        <v>2559</v>
      </c>
      <c r="C176" s="362"/>
      <c r="D176" s="362"/>
      <c r="E176" s="362"/>
      <c r="F176" s="362">
        <v>2780</v>
      </c>
      <c r="G176" s="362"/>
    </row>
    <row r="177" s="347" customFormat="1" ht="14.25" customHeight="1" spans="1:7">
      <c r="A177" s="362" t="s">
        <v>273</v>
      </c>
      <c r="B177" s="362" t="s">
        <v>2561</v>
      </c>
      <c r="C177" s="362"/>
      <c r="D177" s="362"/>
      <c r="E177" s="362"/>
      <c r="F177" s="362">
        <v>2780</v>
      </c>
      <c r="G177" s="362"/>
    </row>
    <row r="178" s="347" customFormat="1" ht="14.25" customHeight="1" spans="1:7">
      <c r="A178" s="362" t="s">
        <v>273</v>
      </c>
      <c r="B178" s="362" t="s">
        <v>2562</v>
      </c>
      <c r="C178" s="362"/>
      <c r="D178" s="362"/>
      <c r="E178" s="362"/>
      <c r="F178" s="362">
        <v>2060</v>
      </c>
      <c r="G178" s="362"/>
    </row>
    <row r="179" s="347" customFormat="1" ht="14.25" customHeight="1" spans="1:7">
      <c r="A179" s="362" t="s">
        <v>273</v>
      </c>
      <c r="B179" s="362" t="s">
        <v>2563</v>
      </c>
      <c r="C179" s="362"/>
      <c r="D179" s="362"/>
      <c r="E179" s="362"/>
      <c r="F179" s="362">
        <v>2120</v>
      </c>
      <c r="G179" s="362"/>
    </row>
    <row r="180" s="347" customFormat="1" ht="14.25" customHeight="1" spans="1:7">
      <c r="A180" s="362" t="s">
        <v>273</v>
      </c>
      <c r="B180" s="362" t="s">
        <v>2564</v>
      </c>
      <c r="C180" s="362"/>
      <c r="D180" s="362"/>
      <c r="E180" s="362"/>
      <c r="F180" s="362">
        <v>2340</v>
      </c>
      <c r="G180" s="362"/>
    </row>
    <row r="181" s="347" customFormat="1" ht="14.25" customHeight="1" spans="1:7">
      <c r="A181" s="362" t="s">
        <v>273</v>
      </c>
      <c r="B181" s="362" t="s">
        <v>2565</v>
      </c>
      <c r="C181" s="362"/>
      <c r="D181" s="362"/>
      <c r="E181" s="362"/>
      <c r="F181" s="362">
        <v>2340</v>
      </c>
      <c r="G181" s="362"/>
    </row>
    <row r="182" s="347" customFormat="1" ht="14.25" customHeight="1" spans="1:7">
      <c r="A182" s="362" t="s">
        <v>273</v>
      </c>
      <c r="B182" s="362" t="s">
        <v>2566</v>
      </c>
      <c r="C182" s="362"/>
      <c r="D182" s="362"/>
      <c r="E182" s="362"/>
      <c r="F182" s="362">
        <v>2340</v>
      </c>
      <c r="G182" s="362"/>
    </row>
    <row r="183" s="347" customFormat="1" ht="14.25" customHeight="1" spans="1:7">
      <c r="A183" s="362" t="s">
        <v>273</v>
      </c>
      <c r="B183" s="362" t="s">
        <v>2567</v>
      </c>
      <c r="C183" s="362"/>
      <c r="D183" s="362"/>
      <c r="E183" s="362"/>
      <c r="F183" s="362">
        <v>2340</v>
      </c>
      <c r="G183" s="362"/>
    </row>
    <row r="184" s="347" customFormat="1" ht="14.25" customHeight="1" spans="1:7">
      <c r="A184" s="362" t="s">
        <v>273</v>
      </c>
      <c r="B184" s="362" t="s">
        <v>2568</v>
      </c>
      <c r="C184" s="362"/>
      <c r="D184" s="362"/>
      <c r="E184" s="362"/>
      <c r="F184" s="362">
        <v>2340</v>
      </c>
      <c r="G184" s="362"/>
    </row>
    <row r="185" s="347" customFormat="1" ht="14.25" customHeight="1" spans="1:7">
      <c r="A185" s="362" t="s">
        <v>273</v>
      </c>
      <c r="B185" s="362" t="s">
        <v>2569</v>
      </c>
      <c r="C185" s="362"/>
      <c r="D185" s="362"/>
      <c r="E185" s="362"/>
      <c r="F185" s="362">
        <v>2530</v>
      </c>
      <c r="G185" s="362"/>
    </row>
    <row r="186" s="347" customFormat="1" ht="14.25" customHeight="1" spans="1:7">
      <c r="A186" s="362" t="s">
        <v>273</v>
      </c>
      <c r="B186" s="362" t="s">
        <v>2570</v>
      </c>
      <c r="C186" s="362"/>
      <c r="D186" s="362"/>
      <c r="E186" s="362"/>
      <c r="F186" s="362">
        <v>2550</v>
      </c>
      <c r="G186" s="362"/>
    </row>
    <row r="187" s="347" customFormat="1" ht="14.25" customHeight="1" spans="1:7">
      <c r="A187" s="362" t="s">
        <v>273</v>
      </c>
      <c r="B187" s="362" t="s">
        <v>2571</v>
      </c>
      <c r="C187" s="362"/>
      <c r="D187" s="362"/>
      <c r="E187" s="362"/>
      <c r="F187" s="362">
        <v>2070</v>
      </c>
      <c r="G187" s="362"/>
    </row>
    <row r="188" s="347" customFormat="1" ht="14.25" customHeight="1" spans="1:7">
      <c r="A188" s="362" t="s">
        <v>273</v>
      </c>
      <c r="B188" s="362" t="s">
        <v>2572</v>
      </c>
      <c r="C188" s="362"/>
      <c r="D188" s="362"/>
      <c r="E188" s="362"/>
      <c r="F188" s="362">
        <v>2340</v>
      </c>
      <c r="G188" s="362"/>
    </row>
    <row r="189" s="347" customFormat="1" ht="14.25" customHeight="1" spans="1:7">
      <c r="A189" s="364" t="s">
        <v>273</v>
      </c>
      <c r="B189" s="368" t="s">
        <v>2573</v>
      </c>
      <c r="C189" s="368"/>
      <c r="D189" s="368"/>
      <c r="E189" s="368"/>
      <c r="F189" s="368">
        <v>2050</v>
      </c>
      <c r="G189" s="368"/>
    </row>
    <row r="190" s="347" customFormat="1" ht="14.25" customHeight="1" spans="1:7">
      <c r="A190" s="360" t="s">
        <v>278</v>
      </c>
      <c r="B190" s="361" t="s">
        <v>2197</v>
      </c>
      <c r="C190" s="361">
        <v>8830</v>
      </c>
      <c r="D190" s="361">
        <v>8790</v>
      </c>
      <c r="E190" s="361">
        <v>11630</v>
      </c>
      <c r="F190" s="361">
        <v>1790</v>
      </c>
      <c r="G190" s="369">
        <v>5550</v>
      </c>
    </row>
    <row r="191" s="347" customFormat="1" ht="14.25" customHeight="1" spans="1:7">
      <c r="A191" s="362" t="s">
        <v>278</v>
      </c>
      <c r="B191" s="362" t="s">
        <v>2210</v>
      </c>
      <c r="C191" s="362">
        <v>9780</v>
      </c>
      <c r="D191" s="362">
        <v>9710</v>
      </c>
      <c r="E191" s="362">
        <v>12550</v>
      </c>
      <c r="F191" s="362">
        <v>1980</v>
      </c>
      <c r="G191" s="370">
        <v>6130</v>
      </c>
    </row>
    <row r="192" s="347" customFormat="1" ht="14.25" customHeight="1" spans="1:7">
      <c r="A192" s="362" t="s">
        <v>278</v>
      </c>
      <c r="B192" s="362" t="s">
        <v>2224</v>
      </c>
      <c r="C192" s="362">
        <v>8180</v>
      </c>
      <c r="D192" s="362">
        <v>8140</v>
      </c>
      <c r="E192" s="362">
        <v>10870</v>
      </c>
      <c r="F192" s="362">
        <v>1690</v>
      </c>
      <c r="G192" s="370">
        <v>5140</v>
      </c>
    </row>
    <row r="193" s="347" customFormat="1" ht="14.25" customHeight="1" spans="1:7">
      <c r="A193" s="362" t="s">
        <v>278</v>
      </c>
      <c r="B193" s="362" t="s">
        <v>2236</v>
      </c>
      <c r="C193" s="362">
        <v>8440</v>
      </c>
      <c r="D193" s="362">
        <v>8390</v>
      </c>
      <c r="E193" s="362">
        <v>11210</v>
      </c>
      <c r="F193" s="362">
        <v>1600</v>
      </c>
      <c r="G193" s="370">
        <v>5300</v>
      </c>
    </row>
    <row r="194" s="347" customFormat="1" ht="14.25" customHeight="1" spans="1:7">
      <c r="A194" s="362" t="s">
        <v>278</v>
      </c>
      <c r="B194" s="362" t="s">
        <v>2248</v>
      </c>
      <c r="C194" s="362">
        <v>8780</v>
      </c>
      <c r="D194" s="362">
        <v>8730</v>
      </c>
      <c r="E194" s="362">
        <v>11550</v>
      </c>
      <c r="F194" s="362">
        <v>1660</v>
      </c>
      <c r="G194" s="370">
        <v>5520</v>
      </c>
    </row>
    <row r="195" s="347" customFormat="1" ht="14.25" customHeight="1" spans="1:7">
      <c r="A195" s="362" t="s">
        <v>278</v>
      </c>
      <c r="B195" s="362" t="s">
        <v>2259</v>
      </c>
      <c r="C195" s="362">
        <v>8720</v>
      </c>
      <c r="D195" s="362">
        <v>8670</v>
      </c>
      <c r="E195" s="362">
        <v>11450</v>
      </c>
      <c r="F195" s="362">
        <v>1720</v>
      </c>
      <c r="G195" s="370">
        <v>5480</v>
      </c>
    </row>
    <row r="196" s="347" customFormat="1" ht="14.25" customHeight="1" spans="1:7">
      <c r="A196" s="362" t="s">
        <v>278</v>
      </c>
      <c r="B196" s="362" t="s">
        <v>2270</v>
      </c>
      <c r="C196" s="362">
        <v>8460</v>
      </c>
      <c r="D196" s="362">
        <v>8410</v>
      </c>
      <c r="E196" s="362">
        <v>11230</v>
      </c>
      <c r="F196" s="362">
        <v>1730</v>
      </c>
      <c r="G196" s="370">
        <v>5310</v>
      </c>
    </row>
    <row r="197" s="347" customFormat="1" ht="14.25" customHeight="1" spans="1:7">
      <c r="A197" s="362" t="s">
        <v>278</v>
      </c>
      <c r="B197" s="362" t="s">
        <v>2281</v>
      </c>
      <c r="C197" s="362">
        <v>8790</v>
      </c>
      <c r="D197" s="362">
        <v>8730</v>
      </c>
      <c r="E197" s="362">
        <v>11560</v>
      </c>
      <c r="F197" s="362">
        <v>1750</v>
      </c>
      <c r="G197" s="370">
        <v>5520</v>
      </c>
    </row>
    <row r="198" s="347" customFormat="1" ht="14.25" customHeight="1" spans="1:7">
      <c r="A198" s="362" t="s">
        <v>278</v>
      </c>
      <c r="B198" s="362" t="s">
        <v>2291</v>
      </c>
      <c r="C198" s="362">
        <v>8720</v>
      </c>
      <c r="D198" s="362">
        <v>8680</v>
      </c>
      <c r="E198" s="362">
        <v>11470</v>
      </c>
      <c r="F198" s="362"/>
      <c r="G198" s="370">
        <v>5480</v>
      </c>
    </row>
    <row r="199" s="347" customFormat="1" ht="14.25" customHeight="1" spans="1:7">
      <c r="A199" s="362" t="s">
        <v>278</v>
      </c>
      <c r="B199" s="362" t="s">
        <v>2301</v>
      </c>
      <c r="C199" s="362">
        <v>8690</v>
      </c>
      <c r="D199" s="362">
        <v>8630</v>
      </c>
      <c r="E199" s="362">
        <v>11350</v>
      </c>
      <c r="F199" s="362">
        <v>1600</v>
      </c>
      <c r="G199" s="370">
        <v>5450</v>
      </c>
    </row>
    <row r="200" s="347" customFormat="1" ht="14.25" customHeight="1" spans="1:7">
      <c r="A200" s="362" t="s">
        <v>278</v>
      </c>
      <c r="B200" s="362" t="s">
        <v>2311</v>
      </c>
      <c r="C200" s="362"/>
      <c r="D200" s="362"/>
      <c r="E200" s="362"/>
      <c r="F200" s="362">
        <v>1510</v>
      </c>
      <c r="G200" s="370"/>
    </row>
    <row r="201" s="347" customFormat="1" ht="14.25" customHeight="1" spans="1:7">
      <c r="A201" s="362" t="s">
        <v>278</v>
      </c>
      <c r="B201" s="362" t="s">
        <v>2321</v>
      </c>
      <c r="C201" s="362">
        <v>8440</v>
      </c>
      <c r="D201" s="362">
        <v>8390</v>
      </c>
      <c r="E201" s="362">
        <v>10930</v>
      </c>
      <c r="F201" s="362">
        <v>1500</v>
      </c>
      <c r="G201" s="370">
        <v>5300</v>
      </c>
    </row>
    <row r="202" s="347" customFormat="1" ht="14.25" customHeight="1" spans="1:7">
      <c r="A202" s="362" t="s">
        <v>278</v>
      </c>
      <c r="B202" s="362" t="s">
        <v>2331</v>
      </c>
      <c r="C202" s="362">
        <v>8530</v>
      </c>
      <c r="D202" s="362">
        <v>8490</v>
      </c>
      <c r="E202" s="362">
        <v>11160</v>
      </c>
      <c r="F202" s="362">
        <v>1580</v>
      </c>
      <c r="G202" s="370">
        <v>5360</v>
      </c>
    </row>
    <row r="203" s="347" customFormat="1" ht="14.25" customHeight="1" spans="1:7">
      <c r="A203" s="362" t="s">
        <v>278</v>
      </c>
      <c r="B203" s="362" t="s">
        <v>2341</v>
      </c>
      <c r="C203" s="362">
        <v>8130</v>
      </c>
      <c r="D203" s="362">
        <v>8070</v>
      </c>
      <c r="E203" s="362">
        <v>10820</v>
      </c>
      <c r="F203" s="362">
        <v>1690</v>
      </c>
      <c r="G203" s="370">
        <v>5100</v>
      </c>
    </row>
    <row r="204" s="347" customFormat="1" ht="14.25" customHeight="1" spans="1:7">
      <c r="A204" s="362" t="s">
        <v>278</v>
      </c>
      <c r="B204" s="362" t="s">
        <v>2351</v>
      </c>
      <c r="C204" s="362">
        <v>8350</v>
      </c>
      <c r="D204" s="362">
        <v>8290</v>
      </c>
      <c r="E204" s="362">
        <v>11080</v>
      </c>
      <c r="F204" s="362">
        <v>1450</v>
      </c>
      <c r="G204" s="370">
        <v>5240</v>
      </c>
    </row>
    <row r="205" s="347" customFormat="1" ht="14.25" customHeight="1" spans="1:7">
      <c r="A205" s="362" t="s">
        <v>278</v>
      </c>
      <c r="B205" s="362" t="s">
        <v>2361</v>
      </c>
      <c r="C205" s="362">
        <v>7190</v>
      </c>
      <c r="D205" s="362">
        <v>7130</v>
      </c>
      <c r="E205" s="362">
        <v>9490</v>
      </c>
      <c r="F205" s="362">
        <v>1470</v>
      </c>
      <c r="G205" s="370">
        <v>4510</v>
      </c>
    </row>
    <row r="206" s="347" customFormat="1" ht="14.25" customHeight="1" spans="1:7">
      <c r="A206" s="362" t="s">
        <v>278</v>
      </c>
      <c r="B206" s="362" t="s">
        <v>2371</v>
      </c>
      <c r="C206" s="362">
        <v>7000</v>
      </c>
      <c r="D206" s="362">
        <v>6950</v>
      </c>
      <c r="E206" s="362">
        <v>9170</v>
      </c>
      <c r="F206" s="362">
        <v>1400</v>
      </c>
      <c r="G206" s="370">
        <v>4380</v>
      </c>
    </row>
    <row r="207" s="347" customFormat="1" ht="14.25" customHeight="1" spans="1:7">
      <c r="A207" s="362" t="s">
        <v>278</v>
      </c>
      <c r="B207" s="362" t="s">
        <v>2381</v>
      </c>
      <c r="C207" s="362">
        <v>6950</v>
      </c>
      <c r="D207" s="362">
        <v>6900</v>
      </c>
      <c r="E207" s="362">
        <v>9110</v>
      </c>
      <c r="F207" s="362">
        <v>1790</v>
      </c>
      <c r="G207" s="370">
        <v>4360</v>
      </c>
    </row>
    <row r="208" s="347" customFormat="1" ht="14.25" customHeight="1" spans="1:7">
      <c r="A208" s="362" t="s">
        <v>278</v>
      </c>
      <c r="B208" s="362" t="s">
        <v>2391</v>
      </c>
      <c r="C208" s="362">
        <v>9470</v>
      </c>
      <c r="D208" s="362">
        <v>9410</v>
      </c>
      <c r="E208" s="362">
        <v>12330</v>
      </c>
      <c r="F208" s="362">
        <v>1770</v>
      </c>
      <c r="G208" s="370">
        <v>5940</v>
      </c>
    </row>
    <row r="209" s="347" customFormat="1" ht="14.25" customHeight="1" spans="1:7">
      <c r="A209" s="362" t="s">
        <v>278</v>
      </c>
      <c r="B209" s="362" t="s">
        <v>2401</v>
      </c>
      <c r="C209" s="362">
        <v>8740</v>
      </c>
      <c r="D209" s="362">
        <v>8700</v>
      </c>
      <c r="E209" s="362">
        <v>11500</v>
      </c>
      <c r="F209" s="362">
        <v>1730</v>
      </c>
      <c r="G209" s="370">
        <v>5490</v>
      </c>
    </row>
    <row r="210" s="347" customFormat="1" ht="14.25" customHeight="1" spans="1:7">
      <c r="A210" s="362" t="s">
        <v>278</v>
      </c>
      <c r="B210" s="362" t="s">
        <v>2410</v>
      </c>
      <c r="C210" s="362">
        <v>8710</v>
      </c>
      <c r="D210" s="362">
        <v>8660</v>
      </c>
      <c r="E210" s="362">
        <v>11440</v>
      </c>
      <c r="F210" s="362">
        <v>1740</v>
      </c>
      <c r="G210" s="370">
        <v>5470</v>
      </c>
    </row>
    <row r="211" s="347" customFormat="1" ht="14.25" customHeight="1" spans="1:7">
      <c r="A211" s="362" t="s">
        <v>278</v>
      </c>
      <c r="B211" s="362" t="s">
        <v>2418</v>
      </c>
      <c r="C211" s="362">
        <v>9480</v>
      </c>
      <c r="D211" s="362">
        <v>9430</v>
      </c>
      <c r="E211" s="362">
        <v>12360</v>
      </c>
      <c r="F211" s="362">
        <v>1820</v>
      </c>
      <c r="G211" s="370">
        <v>5950</v>
      </c>
    </row>
    <row r="212" s="347" customFormat="1" ht="14.25" customHeight="1" spans="1:7">
      <c r="A212" s="362" t="s">
        <v>278</v>
      </c>
      <c r="B212" s="362" t="s">
        <v>2426</v>
      </c>
      <c r="C212" s="362">
        <v>9070</v>
      </c>
      <c r="D212" s="362">
        <v>9020</v>
      </c>
      <c r="E212" s="362">
        <v>11720</v>
      </c>
      <c r="F212" s="362">
        <v>1850</v>
      </c>
      <c r="G212" s="370">
        <v>5700</v>
      </c>
    </row>
    <row r="213" s="347" customFormat="1" ht="14.25" customHeight="1" spans="1:7">
      <c r="A213" s="362" t="s">
        <v>278</v>
      </c>
      <c r="B213" s="362" t="s">
        <v>2434</v>
      </c>
      <c r="C213" s="362">
        <v>9030</v>
      </c>
      <c r="D213" s="362">
        <v>8980</v>
      </c>
      <c r="E213" s="362">
        <v>11670</v>
      </c>
      <c r="F213" s="362">
        <v>1690</v>
      </c>
      <c r="G213" s="370">
        <v>5670</v>
      </c>
    </row>
    <row r="214" s="347" customFormat="1" ht="14.25" customHeight="1" spans="1:7">
      <c r="A214" s="362" t="s">
        <v>278</v>
      </c>
      <c r="B214" s="362" t="s">
        <v>2442</v>
      </c>
      <c r="C214" s="362">
        <v>8090</v>
      </c>
      <c r="D214" s="362">
        <v>8030</v>
      </c>
      <c r="E214" s="362">
        <v>10780</v>
      </c>
      <c r="F214" s="362">
        <v>1570</v>
      </c>
      <c r="G214" s="370">
        <v>5070</v>
      </c>
    </row>
    <row r="215" s="347" customFormat="1" ht="14.25" customHeight="1" spans="1:7">
      <c r="A215" s="362" t="s">
        <v>278</v>
      </c>
      <c r="B215" s="362" t="s">
        <v>2449</v>
      </c>
      <c r="C215" s="362">
        <v>7950</v>
      </c>
      <c r="D215" s="362">
        <v>7900</v>
      </c>
      <c r="E215" s="362">
        <v>10560</v>
      </c>
      <c r="F215" s="362">
        <v>1630</v>
      </c>
      <c r="G215" s="370">
        <v>4990</v>
      </c>
    </row>
    <row r="216" s="347" customFormat="1" ht="14.25" customHeight="1" spans="1:7">
      <c r="A216" s="362" t="s">
        <v>278</v>
      </c>
      <c r="B216" s="362" t="s">
        <v>2456</v>
      </c>
      <c r="C216" s="362">
        <v>8490</v>
      </c>
      <c r="D216" s="362">
        <v>8440</v>
      </c>
      <c r="E216" s="362">
        <v>11260</v>
      </c>
      <c r="F216" s="362">
        <v>1690</v>
      </c>
      <c r="G216" s="370">
        <v>5330</v>
      </c>
    </row>
    <row r="217" s="347" customFormat="1" ht="14.25" customHeight="1" spans="1:7">
      <c r="A217" s="362" t="s">
        <v>278</v>
      </c>
      <c r="B217" s="362" t="s">
        <v>2463</v>
      </c>
      <c r="C217" s="362">
        <v>8200</v>
      </c>
      <c r="D217" s="362">
        <v>8150</v>
      </c>
      <c r="E217" s="362">
        <v>10910</v>
      </c>
      <c r="F217" s="362">
        <v>1670</v>
      </c>
      <c r="G217" s="370">
        <v>5150</v>
      </c>
    </row>
    <row r="218" s="347" customFormat="1" ht="14.25" customHeight="1" spans="1:7">
      <c r="A218" s="362" t="s">
        <v>278</v>
      </c>
      <c r="B218" s="362" t="s">
        <v>2470</v>
      </c>
      <c r="C218" s="362"/>
      <c r="D218" s="362"/>
      <c r="E218" s="362"/>
      <c r="F218" s="362">
        <v>2040</v>
      </c>
      <c r="G218" s="370"/>
    </row>
    <row r="219" s="347" customFormat="1" ht="14.25" customHeight="1" spans="1:7">
      <c r="A219" s="362" t="s">
        <v>278</v>
      </c>
      <c r="B219" s="362" t="s">
        <v>2477</v>
      </c>
      <c r="C219" s="362"/>
      <c r="D219" s="362"/>
      <c r="E219" s="362"/>
      <c r="F219" s="362">
        <v>2040</v>
      </c>
      <c r="G219" s="370"/>
    </row>
    <row r="220" s="347" customFormat="1" ht="14.25" customHeight="1" spans="1:7">
      <c r="A220" s="362" t="s">
        <v>278</v>
      </c>
      <c r="B220" s="362" t="s">
        <v>2484</v>
      </c>
      <c r="C220" s="362"/>
      <c r="D220" s="362"/>
      <c r="E220" s="362"/>
      <c r="F220" s="362">
        <v>2040</v>
      </c>
      <c r="G220" s="370"/>
    </row>
    <row r="221" s="347" customFormat="1" ht="14.25" customHeight="1" spans="1:7">
      <c r="A221" s="362" t="s">
        <v>278</v>
      </c>
      <c r="B221" s="362" t="s">
        <v>2491</v>
      </c>
      <c r="C221" s="362"/>
      <c r="D221" s="362"/>
      <c r="E221" s="362"/>
      <c r="F221" s="362">
        <v>2040</v>
      </c>
      <c r="G221" s="370"/>
    </row>
    <row r="222" s="347" customFormat="1" ht="14.25" customHeight="1" spans="1:7">
      <c r="A222" s="362" t="s">
        <v>278</v>
      </c>
      <c r="B222" s="362" t="s">
        <v>2496</v>
      </c>
      <c r="C222" s="362"/>
      <c r="D222" s="362"/>
      <c r="E222" s="362"/>
      <c r="F222" s="362">
        <v>2040</v>
      </c>
      <c r="G222" s="370"/>
    </row>
    <row r="223" s="347" customFormat="1" ht="14.25" customHeight="1" spans="1:7">
      <c r="A223" s="362" t="s">
        <v>278</v>
      </c>
      <c r="B223" s="362" t="s">
        <v>2501</v>
      </c>
      <c r="C223" s="362"/>
      <c r="D223" s="362"/>
      <c r="E223" s="362"/>
      <c r="F223" s="362">
        <v>1930</v>
      </c>
      <c r="G223" s="370"/>
    </row>
    <row r="224" s="347" customFormat="1" ht="14.25" customHeight="1" spans="1:7">
      <c r="A224" s="362" t="s">
        <v>278</v>
      </c>
      <c r="B224" s="362" t="s">
        <v>2506</v>
      </c>
      <c r="C224" s="362"/>
      <c r="D224" s="362"/>
      <c r="E224" s="362"/>
      <c r="F224" s="362">
        <v>1930</v>
      </c>
      <c r="G224" s="370"/>
    </row>
    <row r="225" s="347" customFormat="1" ht="14.25" customHeight="1" spans="1:7">
      <c r="A225" s="362" t="s">
        <v>278</v>
      </c>
      <c r="B225" s="362" t="s">
        <v>2511</v>
      </c>
      <c r="C225" s="362"/>
      <c r="D225" s="362"/>
      <c r="E225" s="362"/>
      <c r="F225" s="362">
        <v>1930</v>
      </c>
      <c r="G225" s="370"/>
    </row>
    <row r="226" s="347" customFormat="1" ht="14.25" customHeight="1" spans="1:7">
      <c r="A226" s="362" t="s">
        <v>278</v>
      </c>
      <c r="B226" s="362" t="s">
        <v>2516</v>
      </c>
      <c r="C226" s="362"/>
      <c r="D226" s="362"/>
      <c r="E226" s="362"/>
      <c r="F226" s="362">
        <v>1700</v>
      </c>
      <c r="G226" s="370"/>
    </row>
    <row r="227" s="347" customFormat="1" ht="14.25" customHeight="1" spans="1:7">
      <c r="A227" s="362" t="s">
        <v>278</v>
      </c>
      <c r="B227" s="362" t="s">
        <v>2521</v>
      </c>
      <c r="C227" s="362"/>
      <c r="D227" s="362"/>
      <c r="E227" s="362"/>
      <c r="F227" s="362">
        <v>1520</v>
      </c>
      <c r="G227" s="370"/>
    </row>
    <row r="228" s="347" customFormat="1" ht="14.25" customHeight="1" spans="1:7">
      <c r="A228" s="362" t="s">
        <v>278</v>
      </c>
      <c r="B228" s="362" t="s">
        <v>2526</v>
      </c>
      <c r="C228" s="362"/>
      <c r="D228" s="362"/>
      <c r="E228" s="362"/>
      <c r="F228" s="362">
        <v>1520</v>
      </c>
      <c r="G228" s="370"/>
    </row>
    <row r="229" s="347" customFormat="1" ht="14.25" customHeight="1" spans="1:7">
      <c r="A229" s="362" t="s">
        <v>278</v>
      </c>
      <c r="B229" s="362" t="s">
        <v>2531</v>
      </c>
      <c r="C229" s="362"/>
      <c r="D229" s="362"/>
      <c r="E229" s="362"/>
      <c r="F229" s="362">
        <v>1520</v>
      </c>
      <c r="G229" s="370"/>
    </row>
    <row r="230" s="347" customFormat="1" ht="14.25" customHeight="1" spans="1:7">
      <c r="A230" s="362" t="s">
        <v>278</v>
      </c>
      <c r="B230" s="362" t="s">
        <v>2535</v>
      </c>
      <c r="C230" s="362"/>
      <c r="D230" s="362"/>
      <c r="E230" s="362"/>
      <c r="F230" s="362">
        <v>1820</v>
      </c>
      <c r="G230" s="370"/>
    </row>
    <row r="231" s="347" customFormat="1" ht="14.25" customHeight="1" spans="1:7">
      <c r="A231" s="362" t="s">
        <v>278</v>
      </c>
      <c r="B231" s="362" t="s">
        <v>2539</v>
      </c>
      <c r="C231" s="362"/>
      <c r="D231" s="362"/>
      <c r="E231" s="362"/>
      <c r="F231" s="362">
        <v>1760</v>
      </c>
      <c r="G231" s="370"/>
    </row>
    <row r="232" s="347" customFormat="1" ht="14.25" customHeight="1" spans="1:7">
      <c r="A232" s="362" t="s">
        <v>278</v>
      </c>
      <c r="B232" s="362" t="s">
        <v>2543</v>
      </c>
      <c r="C232" s="362"/>
      <c r="D232" s="362"/>
      <c r="E232" s="362"/>
      <c r="F232" s="362">
        <v>1840</v>
      </c>
      <c r="G232" s="370"/>
    </row>
    <row r="233" s="347" customFormat="1" ht="14.25" customHeight="1" spans="1:7">
      <c r="A233" s="371" t="s">
        <v>278</v>
      </c>
      <c r="B233" s="366" t="s">
        <v>2547</v>
      </c>
      <c r="C233" s="366"/>
      <c r="D233" s="366"/>
      <c r="E233" s="366"/>
      <c r="F233" s="366">
        <v>1770</v>
      </c>
      <c r="G233" s="372"/>
    </row>
    <row r="234" s="347" customFormat="1" ht="14.25" customHeight="1" spans="1:7">
      <c r="A234" s="360" t="s">
        <v>284</v>
      </c>
      <c r="B234" s="361" t="s">
        <v>2198</v>
      </c>
      <c r="C234" s="362">
        <v>6980</v>
      </c>
      <c r="D234" s="362">
        <v>6970</v>
      </c>
      <c r="E234" s="362">
        <v>8720</v>
      </c>
      <c r="F234" s="362">
        <v>1350</v>
      </c>
      <c r="G234" s="362">
        <v>4280</v>
      </c>
    </row>
    <row r="235" s="347" customFormat="1" ht="14.25" customHeight="1" spans="1:7">
      <c r="A235" s="362" t="s">
        <v>284</v>
      </c>
      <c r="B235" s="362" t="s">
        <v>2211</v>
      </c>
      <c r="C235" s="362">
        <v>7620</v>
      </c>
      <c r="D235" s="362">
        <v>7580</v>
      </c>
      <c r="E235" s="362">
        <v>9360</v>
      </c>
      <c r="F235" s="362">
        <v>1490</v>
      </c>
      <c r="G235" s="362">
        <v>4650</v>
      </c>
    </row>
    <row r="236" s="347" customFormat="1" ht="14.25" customHeight="1" spans="1:7">
      <c r="A236" s="362" t="s">
        <v>284</v>
      </c>
      <c r="B236" s="362" t="s">
        <v>2225</v>
      </c>
      <c r="C236" s="362">
        <v>6650</v>
      </c>
      <c r="D236" s="362">
        <v>6630</v>
      </c>
      <c r="E236" s="362">
        <v>8330</v>
      </c>
      <c r="F236" s="362">
        <v>1250</v>
      </c>
      <c r="G236" s="362">
        <v>4070</v>
      </c>
    </row>
    <row r="237" s="347" customFormat="1" ht="14.25" customHeight="1" spans="1:7">
      <c r="A237" s="362" t="s">
        <v>284</v>
      </c>
      <c r="B237" s="362" t="s">
        <v>2237</v>
      </c>
      <c r="C237" s="362">
        <v>5850</v>
      </c>
      <c r="D237" s="362">
        <v>5820</v>
      </c>
      <c r="E237" s="362">
        <v>7260</v>
      </c>
      <c r="F237" s="362">
        <v>1140</v>
      </c>
      <c r="G237" s="362">
        <v>3570</v>
      </c>
    </row>
    <row r="238" s="347" customFormat="1" ht="14.25" customHeight="1" spans="1:7">
      <c r="A238" s="362" t="s">
        <v>284</v>
      </c>
      <c r="B238" s="362" t="s">
        <v>2249</v>
      </c>
      <c r="C238" s="362">
        <v>6920</v>
      </c>
      <c r="D238" s="362">
        <v>6890</v>
      </c>
      <c r="E238" s="362">
        <v>8640</v>
      </c>
      <c r="F238" s="362">
        <v>1310</v>
      </c>
      <c r="G238" s="362">
        <v>4230</v>
      </c>
    </row>
    <row r="239" s="347" customFormat="1" ht="14.25" customHeight="1" spans="1:7">
      <c r="A239" s="362" t="s">
        <v>284</v>
      </c>
      <c r="B239" s="362" t="s">
        <v>2260</v>
      </c>
      <c r="C239" s="362">
        <v>6780</v>
      </c>
      <c r="D239" s="362">
        <v>6750</v>
      </c>
      <c r="E239" s="362">
        <v>8440</v>
      </c>
      <c r="F239" s="362">
        <v>1160</v>
      </c>
      <c r="G239" s="362">
        <v>4140</v>
      </c>
    </row>
    <row r="240" s="347" customFormat="1" ht="14.25" customHeight="1" spans="1:7">
      <c r="A240" s="362" t="s">
        <v>284</v>
      </c>
      <c r="B240" s="362" t="s">
        <v>2271</v>
      </c>
      <c r="C240" s="362">
        <v>5420</v>
      </c>
      <c r="D240" s="362">
        <v>5380</v>
      </c>
      <c r="E240" s="362">
        <v>6640</v>
      </c>
      <c r="F240" s="362">
        <v>1020</v>
      </c>
      <c r="G240" s="362">
        <v>3300</v>
      </c>
    </row>
    <row r="241" s="347" customFormat="1" ht="14.25" customHeight="1" spans="1:7">
      <c r="A241" s="362" t="s">
        <v>284</v>
      </c>
      <c r="B241" s="362" t="s">
        <v>2282</v>
      </c>
      <c r="C241" s="362">
        <v>6660</v>
      </c>
      <c r="D241" s="362">
        <v>6640</v>
      </c>
      <c r="E241" s="362">
        <v>8340</v>
      </c>
      <c r="F241" s="362">
        <v>1130</v>
      </c>
      <c r="G241" s="362">
        <v>4080</v>
      </c>
    </row>
    <row r="242" s="347" customFormat="1" ht="14.25" customHeight="1" spans="1:7">
      <c r="A242" s="362" t="s">
        <v>284</v>
      </c>
      <c r="B242" s="362" t="s">
        <v>2292</v>
      </c>
      <c r="C242" s="362">
        <v>6580</v>
      </c>
      <c r="D242" s="362">
        <v>6550</v>
      </c>
      <c r="E242" s="362">
        <v>8090</v>
      </c>
      <c r="F242" s="362">
        <v>1240</v>
      </c>
      <c r="G242" s="362">
        <v>4020</v>
      </c>
    </row>
    <row r="243" s="347" customFormat="1" ht="14.25" customHeight="1" spans="1:7">
      <c r="A243" s="362" t="s">
        <v>284</v>
      </c>
      <c r="B243" s="362" t="s">
        <v>2302</v>
      </c>
      <c r="C243" s="362">
        <v>6000</v>
      </c>
      <c r="D243" s="362">
        <v>5970</v>
      </c>
      <c r="E243" s="362">
        <v>7370</v>
      </c>
      <c r="F243" s="362">
        <v>1070</v>
      </c>
      <c r="G243" s="362">
        <v>3670</v>
      </c>
    </row>
    <row r="244" s="347" customFormat="1" ht="14.25" customHeight="1" spans="1:7">
      <c r="A244" s="362" t="s">
        <v>284</v>
      </c>
      <c r="B244" s="362" t="s">
        <v>2312</v>
      </c>
      <c r="C244" s="362">
        <v>5840</v>
      </c>
      <c r="D244" s="362">
        <v>5810</v>
      </c>
      <c r="E244" s="362">
        <v>7240</v>
      </c>
      <c r="F244" s="362">
        <v>1100</v>
      </c>
      <c r="G244" s="362">
        <v>3560</v>
      </c>
    </row>
    <row r="245" s="347" customFormat="1" ht="14.25" customHeight="1" spans="1:7">
      <c r="A245" s="362" t="s">
        <v>284</v>
      </c>
      <c r="B245" s="362" t="s">
        <v>2322</v>
      </c>
      <c r="C245" s="362">
        <v>6040</v>
      </c>
      <c r="D245" s="362">
        <v>6000</v>
      </c>
      <c r="E245" s="362">
        <v>7420</v>
      </c>
      <c r="F245" s="362">
        <v>1140</v>
      </c>
      <c r="G245" s="362">
        <v>3690</v>
      </c>
    </row>
    <row r="246" s="347" customFormat="1" ht="14.25" customHeight="1" spans="1:7">
      <c r="A246" s="362" t="s">
        <v>284</v>
      </c>
      <c r="B246" s="362" t="s">
        <v>2332</v>
      </c>
      <c r="C246" s="362">
        <v>5890</v>
      </c>
      <c r="D246" s="362">
        <v>5860</v>
      </c>
      <c r="E246" s="362">
        <v>7300</v>
      </c>
      <c r="F246" s="362">
        <v>1110</v>
      </c>
      <c r="G246" s="362">
        <v>3590</v>
      </c>
    </row>
    <row r="247" s="347" customFormat="1" ht="14.25" customHeight="1" spans="1:7">
      <c r="A247" s="362" t="s">
        <v>284</v>
      </c>
      <c r="B247" s="362" t="s">
        <v>2342</v>
      </c>
      <c r="C247" s="362">
        <v>6480</v>
      </c>
      <c r="D247" s="362">
        <v>6450</v>
      </c>
      <c r="E247" s="362">
        <v>8010</v>
      </c>
      <c r="F247" s="362">
        <v>1170</v>
      </c>
      <c r="G247" s="362">
        <v>3960</v>
      </c>
    </row>
    <row r="248" s="347" customFormat="1" ht="14.25" customHeight="1" spans="1:7">
      <c r="A248" s="362" t="s">
        <v>284</v>
      </c>
      <c r="B248" s="362" t="s">
        <v>2352</v>
      </c>
      <c r="C248" s="362">
        <v>6860</v>
      </c>
      <c r="D248" s="362">
        <v>6840</v>
      </c>
      <c r="E248" s="362">
        <v>8520</v>
      </c>
      <c r="F248" s="362">
        <v>1240</v>
      </c>
      <c r="G248" s="362">
        <v>4200</v>
      </c>
    </row>
    <row r="249" s="347" customFormat="1" ht="14.25" customHeight="1" spans="1:7">
      <c r="A249" s="362" t="s">
        <v>284</v>
      </c>
      <c r="B249" s="362" t="s">
        <v>2362</v>
      </c>
      <c r="C249" s="362">
        <v>7180</v>
      </c>
      <c r="D249" s="362">
        <v>7140</v>
      </c>
      <c r="E249" s="362">
        <v>8900</v>
      </c>
      <c r="F249" s="362">
        <v>1350</v>
      </c>
      <c r="G249" s="362">
        <v>4380</v>
      </c>
    </row>
    <row r="250" s="347" customFormat="1" ht="14.25" customHeight="1" spans="1:7">
      <c r="A250" s="362" t="s">
        <v>284</v>
      </c>
      <c r="B250" s="362" t="s">
        <v>2372</v>
      </c>
      <c r="C250" s="362">
        <v>6880</v>
      </c>
      <c r="D250" s="362">
        <v>6860</v>
      </c>
      <c r="E250" s="362">
        <v>8550</v>
      </c>
      <c r="F250" s="362">
        <v>1220</v>
      </c>
      <c r="G250" s="362">
        <v>4210</v>
      </c>
    </row>
    <row r="251" s="347" customFormat="1" ht="14.25" customHeight="1" spans="1:7">
      <c r="A251" s="362" t="s">
        <v>284</v>
      </c>
      <c r="B251" s="362" t="s">
        <v>2382</v>
      </c>
      <c r="C251" s="362"/>
      <c r="D251" s="362"/>
      <c r="E251" s="362"/>
      <c r="F251" s="362">
        <v>1100</v>
      </c>
      <c r="G251" s="362"/>
    </row>
    <row r="252" s="347" customFormat="1" ht="14.25" customHeight="1" spans="1:7">
      <c r="A252" s="362" t="s">
        <v>284</v>
      </c>
      <c r="B252" s="362" t="s">
        <v>2392</v>
      </c>
      <c r="C252" s="362">
        <v>7240</v>
      </c>
      <c r="D252" s="362">
        <v>7200</v>
      </c>
      <c r="E252" s="362">
        <v>9040</v>
      </c>
      <c r="F252" s="362">
        <v>1380</v>
      </c>
      <c r="G252" s="362">
        <v>4420</v>
      </c>
    </row>
    <row r="253" s="347" customFormat="1" ht="14.25" customHeight="1" spans="1:7">
      <c r="A253" s="362" t="s">
        <v>284</v>
      </c>
      <c r="B253" s="362" t="s">
        <v>2402</v>
      </c>
      <c r="C253" s="362">
        <v>6670</v>
      </c>
      <c r="D253" s="362">
        <v>6650</v>
      </c>
      <c r="E253" s="362">
        <v>8350</v>
      </c>
      <c r="F253" s="362">
        <v>1260</v>
      </c>
      <c r="G253" s="362">
        <v>4080</v>
      </c>
    </row>
    <row r="254" s="347" customFormat="1" ht="14.25" customHeight="1" spans="1:7">
      <c r="A254" s="362" t="s">
        <v>284</v>
      </c>
      <c r="B254" s="362" t="s">
        <v>2411</v>
      </c>
      <c r="C254" s="362">
        <v>7630</v>
      </c>
      <c r="D254" s="362">
        <v>7590</v>
      </c>
      <c r="E254" s="362">
        <v>9380</v>
      </c>
      <c r="F254" s="362">
        <v>1320</v>
      </c>
      <c r="G254" s="362">
        <v>4660</v>
      </c>
    </row>
    <row r="255" s="347" customFormat="1" ht="14.25" customHeight="1" spans="1:7">
      <c r="A255" s="362" t="s">
        <v>284</v>
      </c>
      <c r="B255" s="362" t="s">
        <v>2419</v>
      </c>
      <c r="C255" s="362">
        <v>6940</v>
      </c>
      <c r="D255" s="362">
        <v>6890</v>
      </c>
      <c r="E255" s="362">
        <v>8650</v>
      </c>
      <c r="F255" s="362">
        <v>1210</v>
      </c>
      <c r="G255" s="362">
        <v>4230</v>
      </c>
    </row>
    <row r="256" s="347" customFormat="1" ht="14.25" customHeight="1" spans="1:7">
      <c r="A256" s="362" t="s">
        <v>284</v>
      </c>
      <c r="B256" s="362" t="s">
        <v>2427</v>
      </c>
      <c r="C256" s="362">
        <v>7520</v>
      </c>
      <c r="D256" s="362">
        <v>7490</v>
      </c>
      <c r="E256" s="362">
        <v>9240</v>
      </c>
      <c r="F256" s="362">
        <v>1270</v>
      </c>
      <c r="G256" s="362">
        <v>4590</v>
      </c>
    </row>
    <row r="257" s="347" customFormat="1" ht="14.25" customHeight="1" spans="1:7">
      <c r="A257" s="362" t="s">
        <v>284</v>
      </c>
      <c r="B257" s="362" t="s">
        <v>2435</v>
      </c>
      <c r="C257" s="362">
        <v>6280</v>
      </c>
      <c r="D257" s="362">
        <v>6230</v>
      </c>
      <c r="E257" s="362">
        <v>7740</v>
      </c>
      <c r="F257" s="362">
        <v>1080</v>
      </c>
      <c r="G257" s="362">
        <v>3830</v>
      </c>
    </row>
    <row r="258" s="347" customFormat="1" ht="14.25" customHeight="1" spans="1:7">
      <c r="A258" s="362" t="s">
        <v>284</v>
      </c>
      <c r="B258" s="362" t="s">
        <v>2443</v>
      </c>
      <c r="C258" s="362">
        <v>6190</v>
      </c>
      <c r="D258" s="362">
        <v>6160</v>
      </c>
      <c r="E258" s="362">
        <v>7680</v>
      </c>
      <c r="F258" s="362">
        <v>1170</v>
      </c>
      <c r="G258" s="362">
        <v>3780</v>
      </c>
    </row>
    <row r="259" s="347" customFormat="1" ht="14.25" customHeight="1" spans="1:7">
      <c r="A259" s="362" t="s">
        <v>284</v>
      </c>
      <c r="B259" s="362" t="s">
        <v>2450</v>
      </c>
      <c r="C259" s="362">
        <v>7610</v>
      </c>
      <c r="D259" s="362">
        <v>7570</v>
      </c>
      <c r="E259" s="362">
        <v>9350</v>
      </c>
      <c r="F259" s="362">
        <v>1350</v>
      </c>
      <c r="G259" s="362">
        <v>4650</v>
      </c>
    </row>
    <row r="260" s="347" customFormat="1" ht="14.25" customHeight="1" spans="1:7">
      <c r="A260" s="362" t="s">
        <v>284</v>
      </c>
      <c r="B260" s="362" t="s">
        <v>2457</v>
      </c>
      <c r="C260" s="362">
        <v>6920</v>
      </c>
      <c r="D260" s="362">
        <v>6880</v>
      </c>
      <c r="E260" s="362">
        <v>8380</v>
      </c>
      <c r="F260" s="362">
        <v>1160</v>
      </c>
      <c r="G260" s="362">
        <v>4220</v>
      </c>
    </row>
    <row r="261" s="347" customFormat="1" ht="14.25" customHeight="1" spans="1:7">
      <c r="A261" s="362" t="s">
        <v>284</v>
      </c>
      <c r="B261" s="362" t="s">
        <v>2464</v>
      </c>
      <c r="C261" s="362">
        <v>6850</v>
      </c>
      <c r="D261" s="362">
        <v>6810</v>
      </c>
      <c r="E261" s="362">
        <v>8290</v>
      </c>
      <c r="F261" s="362">
        <v>1130</v>
      </c>
      <c r="G261" s="362">
        <v>4180</v>
      </c>
    </row>
    <row r="262" s="347" customFormat="1" ht="14.25" customHeight="1" spans="1:7">
      <c r="A262" s="362" t="s">
        <v>284</v>
      </c>
      <c r="B262" s="362" t="s">
        <v>2471</v>
      </c>
      <c r="C262" s="362">
        <v>5860</v>
      </c>
      <c r="D262" s="362">
        <v>5820</v>
      </c>
      <c r="E262" s="362">
        <v>7640</v>
      </c>
      <c r="F262" s="362">
        <v>1070</v>
      </c>
      <c r="G262" s="362">
        <v>3570</v>
      </c>
    </row>
    <row r="263" s="347" customFormat="1" ht="14.25" customHeight="1" spans="1:7">
      <c r="A263" s="362" t="s">
        <v>284</v>
      </c>
      <c r="B263" s="362" t="s">
        <v>2478</v>
      </c>
      <c r="C263" s="362">
        <v>5870</v>
      </c>
      <c r="D263" s="362">
        <v>5840</v>
      </c>
      <c r="E263" s="362">
        <v>7270</v>
      </c>
      <c r="F263" s="362">
        <v>1190</v>
      </c>
      <c r="G263" s="362">
        <v>3580</v>
      </c>
    </row>
    <row r="264" s="347" customFormat="1" ht="14.25" customHeight="1" spans="1:7">
      <c r="A264" s="362" t="s">
        <v>284</v>
      </c>
      <c r="B264" s="362" t="s">
        <v>2485</v>
      </c>
      <c r="C264" s="362">
        <v>6190</v>
      </c>
      <c r="D264" s="362">
        <v>6150</v>
      </c>
      <c r="E264" s="362">
        <v>7660</v>
      </c>
      <c r="F264" s="362">
        <v>1160</v>
      </c>
      <c r="G264" s="362">
        <v>3770</v>
      </c>
    </row>
    <row r="265" s="347" customFormat="1" ht="14.25" customHeight="1" spans="1:7">
      <c r="A265" s="362" t="s">
        <v>284</v>
      </c>
      <c r="B265" s="362" t="s">
        <v>2492</v>
      </c>
      <c r="C265" s="362"/>
      <c r="D265" s="362"/>
      <c r="E265" s="362"/>
      <c r="F265" s="362">
        <v>1500</v>
      </c>
      <c r="G265" s="362"/>
    </row>
    <row r="266" s="347" customFormat="1" ht="14.25" customHeight="1" spans="1:7">
      <c r="A266" s="362" t="s">
        <v>284</v>
      </c>
      <c r="B266" s="362" t="s">
        <v>2497</v>
      </c>
      <c r="C266" s="362"/>
      <c r="D266" s="362"/>
      <c r="E266" s="362"/>
      <c r="F266" s="362">
        <v>1500</v>
      </c>
      <c r="G266" s="362"/>
    </row>
    <row r="267" s="347" customFormat="1" ht="14.25" customHeight="1" spans="1:7">
      <c r="A267" s="362" t="s">
        <v>284</v>
      </c>
      <c r="B267" s="362" t="s">
        <v>2502</v>
      </c>
      <c r="C267" s="362"/>
      <c r="D267" s="362"/>
      <c r="E267" s="362"/>
      <c r="F267" s="362">
        <v>1500</v>
      </c>
      <c r="G267" s="362"/>
    </row>
    <row r="268" s="347" customFormat="1" ht="14.25" customHeight="1" spans="1:7">
      <c r="A268" s="362" t="s">
        <v>284</v>
      </c>
      <c r="B268" s="362" t="s">
        <v>2507</v>
      </c>
      <c r="C268" s="362"/>
      <c r="D268" s="362"/>
      <c r="E268" s="362"/>
      <c r="F268" s="362">
        <v>1290</v>
      </c>
      <c r="G268" s="362"/>
    </row>
    <row r="269" s="347" customFormat="1" ht="14.25" customHeight="1" spans="1:7">
      <c r="A269" s="362" t="s">
        <v>284</v>
      </c>
      <c r="B269" s="362" t="s">
        <v>2512</v>
      </c>
      <c r="C269" s="362"/>
      <c r="D269" s="362"/>
      <c r="E269" s="362"/>
      <c r="F269" s="362">
        <v>1150</v>
      </c>
      <c r="G269" s="362"/>
    </row>
    <row r="270" s="347" customFormat="1" ht="14.25" customHeight="1" spans="1:7">
      <c r="A270" s="362" t="s">
        <v>284</v>
      </c>
      <c r="B270" s="362" t="s">
        <v>2517</v>
      </c>
      <c r="C270" s="362"/>
      <c r="D270" s="362"/>
      <c r="E270" s="362"/>
      <c r="F270" s="362">
        <v>1380</v>
      </c>
      <c r="G270" s="362"/>
    </row>
    <row r="271" s="347" customFormat="1" ht="14.25" customHeight="1" spans="1:7">
      <c r="A271" s="362" t="s">
        <v>284</v>
      </c>
      <c r="B271" s="362" t="s">
        <v>2522</v>
      </c>
      <c r="C271" s="362"/>
      <c r="D271" s="362"/>
      <c r="E271" s="362"/>
      <c r="F271" s="362">
        <v>1460</v>
      </c>
      <c r="G271" s="362"/>
    </row>
    <row r="272" s="347" customFormat="1" ht="14.25" customHeight="1" spans="1:7">
      <c r="A272" s="362" t="s">
        <v>284</v>
      </c>
      <c r="B272" s="362" t="s">
        <v>2527</v>
      </c>
      <c r="C272" s="362"/>
      <c r="D272" s="362"/>
      <c r="E272" s="362"/>
      <c r="F272" s="362">
        <v>1460</v>
      </c>
      <c r="G272" s="362"/>
    </row>
    <row r="273" s="347" customFormat="1" ht="14.25" customHeight="1" spans="1:7">
      <c r="A273" s="362" t="s">
        <v>284</v>
      </c>
      <c r="B273" s="362" t="s">
        <v>2532</v>
      </c>
      <c r="C273" s="362"/>
      <c r="D273" s="362"/>
      <c r="E273" s="362"/>
      <c r="F273" s="362">
        <v>1490</v>
      </c>
      <c r="G273" s="362"/>
    </row>
    <row r="274" s="347" customFormat="1" ht="14.25" customHeight="1" spans="1:7">
      <c r="A274" s="362" t="s">
        <v>284</v>
      </c>
      <c r="B274" s="362" t="s">
        <v>2536</v>
      </c>
      <c r="C274" s="362"/>
      <c r="D274" s="362"/>
      <c r="E274" s="362"/>
      <c r="F274" s="362">
        <v>1490</v>
      </c>
      <c r="G274" s="362"/>
    </row>
    <row r="275" s="347" customFormat="1" ht="14.25" customHeight="1" spans="1:7">
      <c r="A275" s="362" t="s">
        <v>284</v>
      </c>
      <c r="B275" s="362" t="s">
        <v>2540</v>
      </c>
      <c r="C275" s="362"/>
      <c r="D275" s="362"/>
      <c r="E275" s="362"/>
      <c r="F275" s="362">
        <v>1220</v>
      </c>
      <c r="G275" s="362"/>
    </row>
    <row r="276" s="347" customFormat="1" ht="14.25" customHeight="1" spans="1:7">
      <c r="A276" s="364" t="s">
        <v>284</v>
      </c>
      <c r="B276" s="367" t="s">
        <v>2544</v>
      </c>
      <c r="C276" s="368"/>
      <c r="D276" s="368"/>
      <c r="E276" s="368"/>
      <c r="F276" s="368">
        <v>1380</v>
      </c>
      <c r="G276" s="368"/>
    </row>
    <row r="277" s="347" customFormat="1" ht="14.25" customHeight="1" spans="1:7">
      <c r="A277" s="360" t="s">
        <v>288</v>
      </c>
      <c r="B277" s="361" t="s">
        <v>2199</v>
      </c>
      <c r="C277" s="361">
        <v>5790</v>
      </c>
      <c r="D277" s="361">
        <v>5740</v>
      </c>
      <c r="E277" s="361">
        <v>6730</v>
      </c>
      <c r="F277" s="361">
        <v>1110</v>
      </c>
      <c r="G277" s="369">
        <v>3460</v>
      </c>
    </row>
    <row r="278" s="347" customFormat="1" ht="14.25" customHeight="1" spans="1:7">
      <c r="A278" s="362" t="s">
        <v>288</v>
      </c>
      <c r="B278" s="362" t="s">
        <v>2212</v>
      </c>
      <c r="C278" s="362">
        <v>5740</v>
      </c>
      <c r="D278" s="362">
        <v>5670</v>
      </c>
      <c r="E278" s="362">
        <v>6680</v>
      </c>
      <c r="F278" s="362">
        <v>1070</v>
      </c>
      <c r="G278" s="370">
        <v>3420</v>
      </c>
    </row>
    <row r="279" s="347" customFormat="1" ht="14.25" customHeight="1" spans="1:7">
      <c r="A279" s="362" t="s">
        <v>288</v>
      </c>
      <c r="B279" s="362" t="s">
        <v>2226</v>
      </c>
      <c r="C279" s="362">
        <v>4760</v>
      </c>
      <c r="D279" s="362">
        <v>4720</v>
      </c>
      <c r="E279" s="362">
        <v>5540</v>
      </c>
      <c r="F279" s="362">
        <v>810</v>
      </c>
      <c r="G279" s="370">
        <v>2850</v>
      </c>
    </row>
    <row r="280" s="347" customFormat="1" ht="14.25" customHeight="1" spans="1:7">
      <c r="A280" s="362" t="s">
        <v>288</v>
      </c>
      <c r="B280" s="362" t="s">
        <v>2238</v>
      </c>
      <c r="C280" s="362">
        <v>4010</v>
      </c>
      <c r="D280" s="362">
        <v>3950</v>
      </c>
      <c r="E280" s="362">
        <v>4710</v>
      </c>
      <c r="F280" s="362">
        <v>800</v>
      </c>
      <c r="G280" s="370">
        <v>2390</v>
      </c>
    </row>
    <row r="281" s="347" customFormat="1" ht="14.25" customHeight="1" spans="1:7">
      <c r="A281" s="362" t="s">
        <v>288</v>
      </c>
      <c r="B281" s="362" t="s">
        <v>2250</v>
      </c>
      <c r="C281" s="362">
        <v>4480</v>
      </c>
      <c r="D281" s="362">
        <v>4420</v>
      </c>
      <c r="E281" s="362">
        <v>5230</v>
      </c>
      <c r="F281" s="362">
        <v>870</v>
      </c>
      <c r="G281" s="370">
        <v>2660</v>
      </c>
    </row>
    <row r="282" s="347" customFormat="1" ht="14.25" customHeight="1" spans="1:7">
      <c r="A282" s="362" t="s">
        <v>288</v>
      </c>
      <c r="B282" s="362" t="s">
        <v>2261</v>
      </c>
      <c r="C282" s="362">
        <v>5360</v>
      </c>
      <c r="D282" s="362">
        <v>5300</v>
      </c>
      <c r="E282" s="362">
        <v>6190</v>
      </c>
      <c r="F282" s="362">
        <v>950</v>
      </c>
      <c r="G282" s="370">
        <v>3190</v>
      </c>
    </row>
    <row r="283" s="347" customFormat="1" ht="14.25" customHeight="1" spans="1:7">
      <c r="A283" s="362" t="s">
        <v>288</v>
      </c>
      <c r="B283" s="362" t="s">
        <v>2272</v>
      </c>
      <c r="C283" s="362">
        <v>4950</v>
      </c>
      <c r="D283" s="362">
        <v>4900</v>
      </c>
      <c r="E283" s="362">
        <v>5720</v>
      </c>
      <c r="F283" s="362">
        <v>920</v>
      </c>
      <c r="G283" s="370">
        <v>2950</v>
      </c>
    </row>
    <row r="284" s="347" customFormat="1" ht="14.25" customHeight="1" spans="1:7">
      <c r="A284" s="362" t="s">
        <v>288</v>
      </c>
      <c r="B284" s="362" t="s">
        <v>2283</v>
      </c>
      <c r="C284" s="362">
        <v>5610</v>
      </c>
      <c r="D284" s="362">
        <v>5560</v>
      </c>
      <c r="E284" s="362">
        <v>6520</v>
      </c>
      <c r="F284" s="362">
        <v>1030</v>
      </c>
      <c r="G284" s="370">
        <v>3360</v>
      </c>
    </row>
    <row r="285" s="347" customFormat="1" ht="14.25" customHeight="1" spans="1:7">
      <c r="A285" s="362" t="s">
        <v>288</v>
      </c>
      <c r="B285" s="362" t="s">
        <v>2293</v>
      </c>
      <c r="C285" s="362">
        <v>5340</v>
      </c>
      <c r="D285" s="362">
        <v>5290</v>
      </c>
      <c r="E285" s="362">
        <v>6170</v>
      </c>
      <c r="F285" s="362">
        <v>1080</v>
      </c>
      <c r="G285" s="370">
        <v>3180</v>
      </c>
    </row>
    <row r="286" s="347" customFormat="1" ht="14.25" customHeight="1" spans="1:7">
      <c r="A286" s="362" t="s">
        <v>288</v>
      </c>
      <c r="B286" s="362" t="s">
        <v>2303</v>
      </c>
      <c r="C286" s="362">
        <v>4890</v>
      </c>
      <c r="D286" s="362">
        <v>4840</v>
      </c>
      <c r="E286" s="362">
        <v>5640</v>
      </c>
      <c r="F286" s="362">
        <v>960</v>
      </c>
      <c r="G286" s="370">
        <v>2910</v>
      </c>
    </row>
    <row r="287" s="347" customFormat="1" ht="14.25" customHeight="1" spans="1:7">
      <c r="A287" s="362" t="s">
        <v>288</v>
      </c>
      <c r="B287" s="362" t="s">
        <v>2313</v>
      </c>
      <c r="C287" s="362">
        <v>4960</v>
      </c>
      <c r="D287" s="362">
        <v>4920</v>
      </c>
      <c r="E287" s="362">
        <v>5730</v>
      </c>
      <c r="F287" s="362">
        <v>930</v>
      </c>
      <c r="G287" s="370">
        <v>2960</v>
      </c>
    </row>
    <row r="288" s="347" customFormat="1" ht="14.25" customHeight="1" spans="1:7">
      <c r="A288" s="362" t="s">
        <v>288</v>
      </c>
      <c r="B288" s="362" t="s">
        <v>2323</v>
      </c>
      <c r="C288" s="362">
        <v>4350</v>
      </c>
      <c r="D288" s="362">
        <v>4300</v>
      </c>
      <c r="E288" s="362">
        <v>4900</v>
      </c>
      <c r="F288" s="362">
        <v>820</v>
      </c>
      <c r="G288" s="370">
        <v>2590</v>
      </c>
    </row>
    <row r="289" s="347" customFormat="1" ht="14.25" customHeight="1" spans="1:7">
      <c r="A289" s="362" t="s">
        <v>288</v>
      </c>
      <c r="B289" s="362" t="s">
        <v>2333</v>
      </c>
      <c r="C289" s="362">
        <v>5230</v>
      </c>
      <c r="D289" s="362">
        <v>5170</v>
      </c>
      <c r="E289" s="362">
        <v>6060</v>
      </c>
      <c r="F289" s="362">
        <v>900</v>
      </c>
      <c r="G289" s="370">
        <v>3120</v>
      </c>
    </row>
    <row r="290" s="347" customFormat="1" ht="14.25" customHeight="1" spans="1:7">
      <c r="A290" s="362" t="s">
        <v>288</v>
      </c>
      <c r="B290" s="362" t="s">
        <v>2343</v>
      </c>
      <c r="C290" s="362">
        <v>5550</v>
      </c>
      <c r="D290" s="362">
        <v>5500</v>
      </c>
      <c r="E290" s="362">
        <v>6440</v>
      </c>
      <c r="F290" s="362">
        <v>960</v>
      </c>
      <c r="G290" s="370">
        <v>3320</v>
      </c>
    </row>
    <row r="291" s="347" customFormat="1" ht="14.25" customHeight="1" spans="1:7">
      <c r="A291" s="362" t="s">
        <v>288</v>
      </c>
      <c r="B291" s="362" t="s">
        <v>2353</v>
      </c>
      <c r="C291" s="362">
        <v>5440</v>
      </c>
      <c r="D291" s="362">
        <v>5400</v>
      </c>
      <c r="E291" s="362">
        <v>6320</v>
      </c>
      <c r="F291" s="362">
        <v>930</v>
      </c>
      <c r="G291" s="370">
        <v>3250</v>
      </c>
    </row>
    <row r="292" s="347" customFormat="1" ht="14.25" customHeight="1" spans="1:7">
      <c r="A292" s="362" t="s">
        <v>288</v>
      </c>
      <c r="B292" s="362" t="s">
        <v>2363</v>
      </c>
      <c r="C292" s="362">
        <v>5400</v>
      </c>
      <c r="D292" s="362">
        <v>5360</v>
      </c>
      <c r="E292" s="362">
        <v>6270</v>
      </c>
      <c r="F292" s="362">
        <v>1040</v>
      </c>
      <c r="G292" s="370">
        <v>3230</v>
      </c>
    </row>
    <row r="293" s="347" customFormat="1" ht="14.25" customHeight="1" spans="1:7">
      <c r="A293" s="362" t="s">
        <v>288</v>
      </c>
      <c r="B293" s="362" t="s">
        <v>2373</v>
      </c>
      <c r="C293" s="362">
        <v>5320</v>
      </c>
      <c r="D293" s="362">
        <v>5270</v>
      </c>
      <c r="E293" s="362">
        <v>6160</v>
      </c>
      <c r="F293" s="362">
        <v>990</v>
      </c>
      <c r="G293" s="370">
        <v>3170</v>
      </c>
    </row>
    <row r="294" s="347" customFormat="1" ht="14.25" customHeight="1" spans="1:7">
      <c r="A294" s="362" t="s">
        <v>288</v>
      </c>
      <c r="B294" s="362" t="s">
        <v>2383</v>
      </c>
      <c r="C294" s="362">
        <v>5260</v>
      </c>
      <c r="D294" s="362">
        <v>5210</v>
      </c>
      <c r="E294" s="362">
        <v>6100</v>
      </c>
      <c r="F294" s="362">
        <v>950</v>
      </c>
      <c r="G294" s="370">
        <v>3150</v>
      </c>
    </row>
    <row r="295" s="347" customFormat="1" ht="14.25" customHeight="1" spans="1:7">
      <c r="A295" s="362" t="s">
        <v>288</v>
      </c>
      <c r="B295" s="362" t="s">
        <v>2393</v>
      </c>
      <c r="C295" s="362">
        <v>5610</v>
      </c>
      <c r="D295" s="362">
        <v>5570</v>
      </c>
      <c r="E295" s="362">
        <v>6530</v>
      </c>
      <c r="F295" s="362">
        <v>960</v>
      </c>
      <c r="G295" s="370">
        <v>3360</v>
      </c>
    </row>
    <row r="296" s="347" customFormat="1" ht="14.25" customHeight="1" spans="1:7">
      <c r="A296" s="362" t="s">
        <v>288</v>
      </c>
      <c r="B296" s="362" t="s">
        <v>2403</v>
      </c>
      <c r="C296" s="362">
        <v>5540</v>
      </c>
      <c r="D296" s="362">
        <v>5490</v>
      </c>
      <c r="E296" s="362">
        <v>6430</v>
      </c>
      <c r="F296" s="362">
        <v>980</v>
      </c>
      <c r="G296" s="370">
        <v>3310</v>
      </c>
    </row>
    <row r="297" s="347" customFormat="1" ht="14.25" customHeight="1" spans="1:7">
      <c r="A297" s="362" t="s">
        <v>288</v>
      </c>
      <c r="B297" s="362" t="s">
        <v>2412</v>
      </c>
      <c r="C297" s="362">
        <v>5480</v>
      </c>
      <c r="D297" s="362">
        <v>5420</v>
      </c>
      <c r="E297" s="362">
        <v>6370</v>
      </c>
      <c r="F297" s="362">
        <v>990</v>
      </c>
      <c r="G297" s="370">
        <v>3270</v>
      </c>
    </row>
    <row r="298" s="347" customFormat="1" ht="14.25" customHeight="1" spans="1:7">
      <c r="A298" s="362" t="s">
        <v>288</v>
      </c>
      <c r="B298" s="362" t="s">
        <v>2420</v>
      </c>
      <c r="C298" s="362">
        <v>5090</v>
      </c>
      <c r="D298" s="362">
        <v>5050</v>
      </c>
      <c r="E298" s="362">
        <v>5910</v>
      </c>
      <c r="F298" s="362">
        <v>900</v>
      </c>
      <c r="G298" s="370">
        <v>3040</v>
      </c>
    </row>
    <row r="299" s="347" customFormat="1" ht="14.25" customHeight="1" spans="1:7">
      <c r="A299" s="362" t="s">
        <v>288</v>
      </c>
      <c r="B299" s="376" t="s">
        <v>2428</v>
      </c>
      <c r="C299" s="362">
        <v>5430</v>
      </c>
      <c r="D299" s="362">
        <v>5380</v>
      </c>
      <c r="E299" s="362">
        <v>6280</v>
      </c>
      <c r="F299" s="362">
        <v>1000</v>
      </c>
      <c r="G299" s="370">
        <v>3240</v>
      </c>
    </row>
    <row r="300" s="347" customFormat="1" ht="14.25" customHeight="1" spans="1:7">
      <c r="A300" s="362" t="s">
        <v>288</v>
      </c>
      <c r="B300" s="376" t="s">
        <v>2436</v>
      </c>
      <c r="C300" s="362">
        <v>4740</v>
      </c>
      <c r="D300" s="362">
        <v>4680</v>
      </c>
      <c r="E300" s="362">
        <v>5450</v>
      </c>
      <c r="F300" s="362">
        <v>900</v>
      </c>
      <c r="G300" s="370">
        <v>2830</v>
      </c>
    </row>
    <row r="301" s="347" customFormat="1" ht="14.25" customHeight="1" spans="1:7">
      <c r="A301" s="362" t="s">
        <v>288</v>
      </c>
      <c r="B301" s="376" t="s">
        <v>2444</v>
      </c>
      <c r="C301" s="362">
        <v>4870</v>
      </c>
      <c r="D301" s="362">
        <v>4810</v>
      </c>
      <c r="E301" s="362">
        <v>5560</v>
      </c>
      <c r="F301" s="362">
        <v>990</v>
      </c>
      <c r="G301" s="370">
        <v>2910</v>
      </c>
    </row>
    <row r="302" s="347" customFormat="1" ht="14.25" customHeight="1" spans="1:7">
      <c r="A302" s="362" t="s">
        <v>288</v>
      </c>
      <c r="B302" s="362" t="s">
        <v>2451</v>
      </c>
      <c r="C302" s="362">
        <v>5520</v>
      </c>
      <c r="D302" s="362">
        <v>5470</v>
      </c>
      <c r="E302" s="362">
        <v>6410</v>
      </c>
      <c r="F302" s="362">
        <v>950</v>
      </c>
      <c r="G302" s="370">
        <v>3300</v>
      </c>
    </row>
    <row r="303" s="347" customFormat="1" ht="14.25" customHeight="1" spans="1:7">
      <c r="A303" s="362" t="s">
        <v>288</v>
      </c>
      <c r="B303" s="362" t="s">
        <v>2458</v>
      </c>
      <c r="C303" s="362">
        <v>5630</v>
      </c>
      <c r="D303" s="362">
        <v>5590</v>
      </c>
      <c r="E303" s="362">
        <v>6550</v>
      </c>
      <c r="F303" s="362">
        <v>1010</v>
      </c>
      <c r="G303" s="370">
        <v>3370</v>
      </c>
    </row>
    <row r="304" s="347" customFormat="1" ht="14.25" customHeight="1" spans="1:7">
      <c r="A304" s="362" t="s">
        <v>288</v>
      </c>
      <c r="B304" s="362" t="s">
        <v>2465</v>
      </c>
      <c r="C304" s="362">
        <v>5680</v>
      </c>
      <c r="D304" s="362">
        <v>5620</v>
      </c>
      <c r="E304" s="362">
        <v>6620</v>
      </c>
      <c r="F304" s="362">
        <v>1050</v>
      </c>
      <c r="G304" s="370">
        <v>3390</v>
      </c>
    </row>
    <row r="305" s="347" customFormat="1" ht="14.25" customHeight="1" spans="1:7">
      <c r="A305" s="362" t="s">
        <v>288</v>
      </c>
      <c r="B305" s="362" t="s">
        <v>2472</v>
      </c>
      <c r="C305" s="362">
        <v>5590</v>
      </c>
      <c r="D305" s="362">
        <v>5530</v>
      </c>
      <c r="E305" s="362">
        <v>6460</v>
      </c>
      <c r="F305" s="362">
        <v>900</v>
      </c>
      <c r="G305" s="370">
        <v>3340</v>
      </c>
    </row>
    <row r="306" s="347" customFormat="1" ht="14.25" customHeight="1" spans="1:7">
      <c r="A306" s="362" t="s">
        <v>288</v>
      </c>
      <c r="B306" s="362" t="s">
        <v>2479</v>
      </c>
      <c r="C306" s="362">
        <v>5560</v>
      </c>
      <c r="D306" s="362">
        <v>5510</v>
      </c>
      <c r="E306" s="362">
        <v>6440</v>
      </c>
      <c r="F306" s="362">
        <v>900</v>
      </c>
      <c r="G306" s="370">
        <v>3320</v>
      </c>
    </row>
    <row r="307" s="347" customFormat="1" ht="14.25" customHeight="1" spans="1:7">
      <c r="A307" s="362" t="s">
        <v>288</v>
      </c>
      <c r="B307" s="362" t="s">
        <v>2486</v>
      </c>
      <c r="C307" s="362">
        <v>5650</v>
      </c>
      <c r="D307" s="362">
        <v>5600</v>
      </c>
      <c r="E307" s="362">
        <v>6590</v>
      </c>
      <c r="F307" s="362">
        <v>930</v>
      </c>
      <c r="G307" s="370">
        <v>3380</v>
      </c>
    </row>
    <row r="308" s="347" customFormat="1" ht="14.25" customHeight="1" spans="1:7">
      <c r="A308" s="362" t="s">
        <v>288</v>
      </c>
      <c r="B308" s="362" t="s">
        <v>2493</v>
      </c>
      <c r="C308" s="362">
        <v>5620</v>
      </c>
      <c r="D308" s="362">
        <v>5580</v>
      </c>
      <c r="E308" s="362">
        <v>6540</v>
      </c>
      <c r="F308" s="362">
        <v>910</v>
      </c>
      <c r="G308" s="370">
        <v>3370</v>
      </c>
    </row>
    <row r="309" s="347" customFormat="1" ht="14.25" customHeight="1" spans="1:7">
      <c r="A309" s="362" t="s">
        <v>288</v>
      </c>
      <c r="B309" s="362" t="s">
        <v>2498</v>
      </c>
      <c r="C309" s="362">
        <v>5060</v>
      </c>
      <c r="D309" s="362">
        <v>5020</v>
      </c>
      <c r="E309" s="362">
        <v>6370</v>
      </c>
      <c r="F309" s="362">
        <v>800</v>
      </c>
      <c r="G309" s="370">
        <v>3020</v>
      </c>
    </row>
    <row r="310" s="347" customFormat="1" ht="14.25" customHeight="1" spans="1:7">
      <c r="A310" s="362" t="s">
        <v>288</v>
      </c>
      <c r="B310" s="362" t="s">
        <v>2503</v>
      </c>
      <c r="C310" s="362">
        <v>5150</v>
      </c>
      <c r="D310" s="362">
        <v>5110</v>
      </c>
      <c r="E310" s="362">
        <v>6500</v>
      </c>
      <c r="F310" s="362">
        <v>880</v>
      </c>
      <c r="G310" s="370">
        <v>3080</v>
      </c>
    </row>
    <row r="311" s="347" customFormat="1" ht="14.25" customHeight="1" spans="1:7">
      <c r="A311" s="362" t="s">
        <v>288</v>
      </c>
      <c r="B311" s="362" t="s">
        <v>2508</v>
      </c>
      <c r="C311" s="362">
        <v>4750</v>
      </c>
      <c r="D311" s="362">
        <v>4710</v>
      </c>
      <c r="E311" s="362">
        <v>5510</v>
      </c>
      <c r="F311" s="362">
        <v>880</v>
      </c>
      <c r="G311" s="370">
        <v>2840</v>
      </c>
    </row>
    <row r="312" s="347" customFormat="1" ht="14.25" customHeight="1" spans="1:7">
      <c r="A312" s="362" t="s">
        <v>288</v>
      </c>
      <c r="B312" s="362" t="s">
        <v>2513</v>
      </c>
      <c r="C312" s="362">
        <v>4690</v>
      </c>
      <c r="D312" s="362">
        <v>4640</v>
      </c>
      <c r="E312" s="362">
        <v>5420</v>
      </c>
      <c r="F312" s="362">
        <v>800</v>
      </c>
      <c r="G312" s="370">
        <v>2800</v>
      </c>
    </row>
    <row r="313" s="347" customFormat="1" ht="14.25" customHeight="1" spans="1:7">
      <c r="A313" s="362" t="s">
        <v>288</v>
      </c>
      <c r="B313" s="362" t="s">
        <v>2518</v>
      </c>
      <c r="C313" s="362">
        <v>4810</v>
      </c>
      <c r="D313" s="362">
        <v>4760</v>
      </c>
      <c r="E313" s="362">
        <v>5550</v>
      </c>
      <c r="F313" s="362">
        <v>920</v>
      </c>
      <c r="G313" s="370">
        <v>2870</v>
      </c>
    </row>
    <row r="314" s="347" customFormat="1" ht="14.25" customHeight="1" spans="1:7">
      <c r="A314" s="362" t="s">
        <v>288</v>
      </c>
      <c r="B314" s="362" t="s">
        <v>2523</v>
      </c>
      <c r="C314" s="362"/>
      <c r="D314" s="362"/>
      <c r="E314" s="362"/>
      <c r="F314" s="362">
        <v>1020</v>
      </c>
      <c r="G314" s="370"/>
    </row>
    <row r="315" s="347" customFormat="1" ht="14.25" customHeight="1" spans="1:7">
      <c r="A315" s="362" t="s">
        <v>288</v>
      </c>
      <c r="B315" s="362" t="s">
        <v>2528</v>
      </c>
      <c r="C315" s="362"/>
      <c r="D315" s="362"/>
      <c r="E315" s="362"/>
      <c r="F315" s="362">
        <v>1050</v>
      </c>
      <c r="G315" s="370"/>
    </row>
    <row r="316" s="347" customFormat="1" ht="14.25" customHeight="1" spans="1:7">
      <c r="A316" s="362" t="s">
        <v>288</v>
      </c>
      <c r="B316" s="362" t="s">
        <v>2533</v>
      </c>
      <c r="C316" s="362"/>
      <c r="D316" s="362"/>
      <c r="E316" s="362"/>
      <c r="F316" s="362">
        <v>900</v>
      </c>
      <c r="G316" s="370"/>
    </row>
    <row r="317" s="347" customFormat="1" ht="14.25" customHeight="1" spans="1:7">
      <c r="A317" s="362" t="s">
        <v>288</v>
      </c>
      <c r="B317" s="362" t="s">
        <v>2537</v>
      </c>
      <c r="C317" s="362"/>
      <c r="D317" s="362"/>
      <c r="E317" s="362"/>
      <c r="F317" s="362">
        <v>920</v>
      </c>
      <c r="G317" s="370"/>
    </row>
    <row r="318" s="347" customFormat="1" ht="14.25" customHeight="1" spans="1:7">
      <c r="A318" s="362" t="s">
        <v>288</v>
      </c>
      <c r="B318" s="362" t="s">
        <v>2541</v>
      </c>
      <c r="C318" s="362"/>
      <c r="D318" s="362"/>
      <c r="E318" s="362"/>
      <c r="F318" s="362">
        <v>1080</v>
      </c>
      <c r="G318" s="370"/>
    </row>
    <row r="319" s="347" customFormat="1" ht="14.25" customHeight="1" spans="1:7">
      <c r="A319" s="362" t="s">
        <v>288</v>
      </c>
      <c r="B319" s="362" t="s">
        <v>2545</v>
      </c>
      <c r="C319" s="362"/>
      <c r="D319" s="362"/>
      <c r="E319" s="362"/>
      <c r="F319" s="362">
        <v>1020</v>
      </c>
      <c r="G319" s="370"/>
    </row>
    <row r="320" s="347" customFormat="1" ht="14.25" customHeight="1" spans="1:7">
      <c r="A320" s="362" t="s">
        <v>288</v>
      </c>
      <c r="B320" s="362" t="s">
        <v>2548</v>
      </c>
      <c r="C320" s="362"/>
      <c r="D320" s="362"/>
      <c r="E320" s="362"/>
      <c r="F320" s="362">
        <v>1050</v>
      </c>
      <c r="G320" s="370"/>
    </row>
    <row r="321" s="347" customFormat="1" ht="14.25" customHeight="1" spans="1:7">
      <c r="A321" s="362" t="s">
        <v>288</v>
      </c>
      <c r="B321" s="362" t="s">
        <v>2550</v>
      </c>
      <c r="C321" s="362"/>
      <c r="D321" s="362"/>
      <c r="E321" s="362"/>
      <c r="F321" s="362">
        <v>960</v>
      </c>
      <c r="G321" s="370"/>
    </row>
    <row r="322" s="347" customFormat="1" ht="14.25" customHeight="1" spans="1:7">
      <c r="A322" s="362" t="s">
        <v>288</v>
      </c>
      <c r="B322" s="362" t="s">
        <v>2552</v>
      </c>
      <c r="C322" s="362"/>
      <c r="D322" s="362"/>
      <c r="E322" s="362"/>
      <c r="F322" s="362">
        <v>960</v>
      </c>
      <c r="G322" s="370"/>
    </row>
    <row r="323" s="347" customFormat="1" ht="14.25" customHeight="1" spans="1:7">
      <c r="A323" s="362" t="s">
        <v>288</v>
      </c>
      <c r="B323" s="362" t="s">
        <v>2554</v>
      </c>
      <c r="C323" s="362"/>
      <c r="D323" s="362"/>
      <c r="E323" s="362"/>
      <c r="F323" s="362">
        <v>880</v>
      </c>
      <c r="G323" s="370"/>
    </row>
    <row r="324" s="347" customFormat="1" ht="14.25" customHeight="1" spans="1:7">
      <c r="A324" s="362" t="s">
        <v>288</v>
      </c>
      <c r="B324" s="362" t="s">
        <v>2556</v>
      </c>
      <c r="C324" s="362"/>
      <c r="D324" s="362"/>
      <c r="E324" s="362"/>
      <c r="F324" s="362">
        <v>930</v>
      </c>
      <c r="G324" s="370"/>
    </row>
    <row r="325" s="347" customFormat="1" ht="14.25" customHeight="1" spans="1:7">
      <c r="A325" s="362" t="s">
        <v>288</v>
      </c>
      <c r="B325" s="363" t="s">
        <v>2558</v>
      </c>
      <c r="C325" s="362"/>
      <c r="D325" s="362"/>
      <c r="E325" s="362"/>
      <c r="F325" s="362">
        <v>900</v>
      </c>
      <c r="G325" s="370"/>
    </row>
    <row r="326" s="347" customFormat="1" ht="14.25" customHeight="1" spans="1:7">
      <c r="A326" s="371" t="s">
        <v>288</v>
      </c>
      <c r="B326" s="366" t="s">
        <v>2560</v>
      </c>
      <c r="C326" s="366"/>
      <c r="D326" s="366"/>
      <c r="E326" s="366"/>
      <c r="F326" s="366">
        <v>790</v>
      </c>
      <c r="G326" s="372"/>
    </row>
    <row r="327" s="347" customFormat="1" ht="14.25" customHeight="1" spans="1:7">
      <c r="A327" s="360" t="s">
        <v>292</v>
      </c>
      <c r="B327" s="361" t="s">
        <v>2200</v>
      </c>
      <c r="C327" s="362">
        <v>3750</v>
      </c>
      <c r="D327" s="362">
        <v>3710</v>
      </c>
      <c r="E327" s="362">
        <v>4080</v>
      </c>
      <c r="F327" s="362">
        <v>860</v>
      </c>
      <c r="G327" s="362">
        <v>2210</v>
      </c>
    </row>
    <row r="328" s="347" customFormat="1" ht="14.25" customHeight="1" spans="1:7">
      <c r="A328" s="362" t="s">
        <v>292</v>
      </c>
      <c r="B328" s="362" t="s">
        <v>2213</v>
      </c>
      <c r="C328" s="362">
        <v>3330</v>
      </c>
      <c r="D328" s="362">
        <v>3290</v>
      </c>
      <c r="E328" s="362">
        <v>3610</v>
      </c>
      <c r="F328" s="362">
        <v>850</v>
      </c>
      <c r="G328" s="362">
        <v>1960</v>
      </c>
    </row>
    <row r="329" s="347" customFormat="1" ht="14.25" customHeight="1" spans="1:7">
      <c r="A329" s="362" t="s">
        <v>292</v>
      </c>
      <c r="B329" s="362" t="s">
        <v>2227</v>
      </c>
      <c r="C329" s="362">
        <v>2730</v>
      </c>
      <c r="D329" s="362">
        <v>2690</v>
      </c>
      <c r="E329" s="362">
        <v>3100</v>
      </c>
      <c r="F329" s="362">
        <v>660</v>
      </c>
      <c r="G329" s="362">
        <v>1610</v>
      </c>
    </row>
    <row r="330" s="347" customFormat="1" ht="14.25" customHeight="1" spans="1:7">
      <c r="A330" s="362" t="s">
        <v>292</v>
      </c>
      <c r="B330" s="362" t="s">
        <v>2239</v>
      </c>
      <c r="C330" s="362">
        <v>3270</v>
      </c>
      <c r="D330" s="362">
        <v>3240</v>
      </c>
      <c r="E330" s="362">
        <v>3560</v>
      </c>
      <c r="F330" s="362">
        <v>680</v>
      </c>
      <c r="G330" s="362">
        <v>1940</v>
      </c>
    </row>
    <row r="331" s="347" customFormat="1" ht="14.25" customHeight="1" spans="1:7">
      <c r="A331" s="362" t="s">
        <v>292</v>
      </c>
      <c r="B331" s="362" t="s">
        <v>2251</v>
      </c>
      <c r="C331" s="362">
        <v>3770</v>
      </c>
      <c r="D331" s="362">
        <v>3740</v>
      </c>
      <c r="E331" s="362">
        <v>4110</v>
      </c>
      <c r="F331" s="362">
        <v>730</v>
      </c>
      <c r="G331" s="362">
        <v>2230</v>
      </c>
    </row>
    <row r="332" s="347" customFormat="1" ht="14.25" customHeight="1" spans="1:7">
      <c r="A332" s="362" t="s">
        <v>292</v>
      </c>
      <c r="B332" s="362" t="s">
        <v>2262</v>
      </c>
      <c r="C332" s="362">
        <v>3520</v>
      </c>
      <c r="D332" s="362">
        <v>3480</v>
      </c>
      <c r="E332" s="362">
        <v>3830</v>
      </c>
      <c r="F332" s="362">
        <v>720</v>
      </c>
      <c r="G332" s="362">
        <v>2090</v>
      </c>
    </row>
    <row r="333" s="347" customFormat="1" ht="14.25" customHeight="1" spans="1:7">
      <c r="A333" s="362" t="s">
        <v>292</v>
      </c>
      <c r="B333" s="362" t="s">
        <v>2273</v>
      </c>
      <c r="C333" s="362">
        <v>3840</v>
      </c>
      <c r="D333" s="362">
        <v>3800</v>
      </c>
      <c r="E333" s="362">
        <v>4200</v>
      </c>
      <c r="F333" s="362">
        <v>760</v>
      </c>
      <c r="G333" s="362">
        <v>2270</v>
      </c>
    </row>
    <row r="334" s="347" customFormat="1" ht="14.25" customHeight="1" spans="1:7">
      <c r="A334" s="362" t="s">
        <v>292</v>
      </c>
      <c r="B334" s="362" t="s">
        <v>2284</v>
      </c>
      <c r="C334" s="362">
        <v>3960</v>
      </c>
      <c r="D334" s="362">
        <v>3910</v>
      </c>
      <c r="E334" s="362">
        <v>4340</v>
      </c>
      <c r="F334" s="362">
        <v>780</v>
      </c>
      <c r="G334" s="362">
        <v>2340</v>
      </c>
    </row>
    <row r="335" s="347" customFormat="1" ht="14.25" customHeight="1" spans="1:7">
      <c r="A335" s="362" t="s">
        <v>292</v>
      </c>
      <c r="B335" s="362" t="s">
        <v>2294</v>
      </c>
      <c r="C335" s="362">
        <v>3710</v>
      </c>
      <c r="D335" s="362">
        <v>3670</v>
      </c>
      <c r="E335" s="362">
        <v>4030</v>
      </c>
      <c r="F335" s="362">
        <v>750</v>
      </c>
      <c r="G335" s="362">
        <v>2200</v>
      </c>
    </row>
    <row r="336" s="347" customFormat="1" ht="14.25" customHeight="1" spans="1:7">
      <c r="A336" s="362" t="s">
        <v>292</v>
      </c>
      <c r="B336" s="362" t="s">
        <v>2304</v>
      </c>
      <c r="C336" s="362">
        <v>3570</v>
      </c>
      <c r="D336" s="362">
        <v>3530</v>
      </c>
      <c r="E336" s="362">
        <v>3880</v>
      </c>
      <c r="F336" s="362">
        <v>770</v>
      </c>
      <c r="G336" s="362">
        <v>2110</v>
      </c>
    </row>
    <row r="337" s="347" customFormat="1" ht="14.25" customHeight="1" spans="1:7">
      <c r="A337" s="362" t="s">
        <v>292</v>
      </c>
      <c r="B337" s="362" t="s">
        <v>2314</v>
      </c>
      <c r="C337" s="362">
        <v>3780</v>
      </c>
      <c r="D337" s="362">
        <v>3750</v>
      </c>
      <c r="E337" s="362">
        <v>4130</v>
      </c>
      <c r="F337" s="362">
        <v>750</v>
      </c>
      <c r="G337" s="362">
        <v>2240</v>
      </c>
    </row>
    <row r="338" s="347" customFormat="1" ht="14.25" customHeight="1" spans="1:7">
      <c r="A338" s="362" t="s">
        <v>292</v>
      </c>
      <c r="B338" s="362" t="s">
        <v>2324</v>
      </c>
      <c r="C338" s="362">
        <v>3600</v>
      </c>
      <c r="D338" s="362">
        <v>3570</v>
      </c>
      <c r="E338" s="362">
        <v>3920</v>
      </c>
      <c r="F338" s="362">
        <v>790</v>
      </c>
      <c r="G338" s="362">
        <v>2140</v>
      </c>
    </row>
    <row r="339" s="347" customFormat="1" ht="14.25" customHeight="1" spans="1:7">
      <c r="A339" s="362" t="s">
        <v>292</v>
      </c>
      <c r="B339" s="362" t="s">
        <v>2334</v>
      </c>
      <c r="C339" s="362">
        <v>3540</v>
      </c>
      <c r="D339" s="362">
        <v>3500</v>
      </c>
      <c r="E339" s="362">
        <v>3850</v>
      </c>
      <c r="F339" s="362">
        <v>780</v>
      </c>
      <c r="G339" s="362">
        <v>2100</v>
      </c>
    </row>
    <row r="340" s="347" customFormat="1" ht="14.25" customHeight="1" spans="1:7">
      <c r="A340" s="362" t="s">
        <v>292</v>
      </c>
      <c r="B340" s="362" t="s">
        <v>2344</v>
      </c>
      <c r="C340" s="362">
        <v>3850</v>
      </c>
      <c r="D340" s="362">
        <v>3810</v>
      </c>
      <c r="E340" s="362">
        <v>4210</v>
      </c>
      <c r="F340" s="362">
        <v>750</v>
      </c>
      <c r="G340" s="362">
        <v>2280</v>
      </c>
    </row>
    <row r="341" s="347" customFormat="1" ht="14.25" customHeight="1" spans="1:7">
      <c r="A341" s="362" t="s">
        <v>292</v>
      </c>
      <c r="B341" s="362" t="s">
        <v>2354</v>
      </c>
      <c r="C341" s="362">
        <v>3780</v>
      </c>
      <c r="D341" s="362">
        <v>3750</v>
      </c>
      <c r="E341" s="362">
        <v>4140</v>
      </c>
      <c r="F341" s="362">
        <v>720</v>
      </c>
      <c r="G341" s="362">
        <v>2240</v>
      </c>
    </row>
    <row r="342" s="347" customFormat="1" ht="14.25" customHeight="1" spans="1:7">
      <c r="A342" s="362" t="s">
        <v>292</v>
      </c>
      <c r="B342" s="362" t="s">
        <v>2364</v>
      </c>
      <c r="C342" s="362">
        <v>3670</v>
      </c>
      <c r="D342" s="362">
        <v>3620</v>
      </c>
      <c r="E342" s="362">
        <v>3990</v>
      </c>
      <c r="F342" s="362">
        <v>760</v>
      </c>
      <c r="G342" s="362">
        <v>2170</v>
      </c>
    </row>
    <row r="343" s="347" customFormat="1" ht="14.25" customHeight="1" spans="1:7">
      <c r="A343" s="362" t="s">
        <v>292</v>
      </c>
      <c r="B343" s="362" t="s">
        <v>2374</v>
      </c>
      <c r="C343" s="362">
        <v>3760</v>
      </c>
      <c r="D343" s="362">
        <v>3720</v>
      </c>
      <c r="E343" s="362">
        <v>4090</v>
      </c>
      <c r="F343" s="362">
        <v>780</v>
      </c>
      <c r="G343" s="362">
        <v>2220</v>
      </c>
    </row>
    <row r="344" s="347" customFormat="1" ht="14.25" customHeight="1" spans="1:7">
      <c r="A344" s="362" t="s">
        <v>292</v>
      </c>
      <c r="B344" s="362" t="s">
        <v>2384</v>
      </c>
      <c r="C344" s="362">
        <v>3680</v>
      </c>
      <c r="D344" s="362">
        <v>3640</v>
      </c>
      <c r="E344" s="362">
        <v>4010</v>
      </c>
      <c r="F344" s="362">
        <v>750</v>
      </c>
      <c r="G344" s="362">
        <v>2180</v>
      </c>
    </row>
    <row r="345" spans="1:10">
      <c r="A345" s="362" t="s">
        <v>292</v>
      </c>
      <c r="B345" s="362" t="s">
        <v>2394</v>
      </c>
      <c r="C345" s="362">
        <v>3190</v>
      </c>
      <c r="D345" s="362">
        <v>3140</v>
      </c>
      <c r="E345" s="362">
        <v>3450</v>
      </c>
      <c r="F345" s="362">
        <v>720</v>
      </c>
      <c r="G345" s="362">
        <v>1880</v>
      </c>
      <c r="J345" s="347"/>
    </row>
    <row r="346" spans="1:10">
      <c r="A346" s="362" t="s">
        <v>292</v>
      </c>
      <c r="B346" s="362" t="s">
        <v>2404</v>
      </c>
      <c r="C346" s="362">
        <v>3630</v>
      </c>
      <c r="D346" s="362">
        <v>3590</v>
      </c>
      <c r="E346" s="362">
        <v>3940</v>
      </c>
      <c r="F346" s="362">
        <v>730</v>
      </c>
      <c r="G346" s="362">
        <v>2150</v>
      </c>
      <c r="J346" s="347"/>
    </row>
    <row r="347" spans="1:10">
      <c r="A347" s="362" t="s">
        <v>292</v>
      </c>
      <c r="B347" s="362" t="s">
        <v>2413</v>
      </c>
      <c r="C347" s="362">
        <v>3860</v>
      </c>
      <c r="D347" s="362">
        <v>3820</v>
      </c>
      <c r="E347" s="362">
        <v>4220</v>
      </c>
      <c r="F347" s="362">
        <v>750</v>
      </c>
      <c r="G347" s="362">
        <v>2280</v>
      </c>
      <c r="J347" s="347"/>
    </row>
    <row r="348" spans="1:10">
      <c r="A348" s="362" t="s">
        <v>292</v>
      </c>
      <c r="B348" s="362" t="s">
        <v>2421</v>
      </c>
      <c r="C348" s="362">
        <v>4000</v>
      </c>
      <c r="D348" s="362">
        <v>3950</v>
      </c>
      <c r="E348" s="362">
        <v>4430</v>
      </c>
      <c r="F348" s="362">
        <v>760</v>
      </c>
      <c r="G348" s="362">
        <v>2360</v>
      </c>
      <c r="J348" s="347"/>
    </row>
    <row r="349" spans="1:10">
      <c r="A349" s="362" t="s">
        <v>292</v>
      </c>
      <c r="B349" s="362" t="s">
        <v>2429</v>
      </c>
      <c r="C349" s="362">
        <v>3820</v>
      </c>
      <c r="D349" s="362">
        <v>3780</v>
      </c>
      <c r="E349" s="362">
        <v>4170</v>
      </c>
      <c r="F349" s="362">
        <v>710</v>
      </c>
      <c r="G349" s="362">
        <v>2260</v>
      </c>
      <c r="J349" s="347"/>
    </row>
    <row r="350" spans="1:10">
      <c r="A350" s="362" t="s">
        <v>292</v>
      </c>
      <c r="B350" s="362" t="s">
        <v>2437</v>
      </c>
      <c r="C350" s="362">
        <v>3760</v>
      </c>
      <c r="D350" s="362">
        <v>3730</v>
      </c>
      <c r="E350" s="362">
        <v>4100</v>
      </c>
      <c r="F350" s="362">
        <v>800</v>
      </c>
      <c r="G350" s="362">
        <v>2230</v>
      </c>
      <c r="J350" s="347"/>
    </row>
    <row r="351" spans="1:10">
      <c r="A351" s="362" t="s">
        <v>292</v>
      </c>
      <c r="B351" s="362" t="s">
        <v>2445</v>
      </c>
      <c r="C351" s="362">
        <v>3610</v>
      </c>
      <c r="D351" s="362">
        <v>3580</v>
      </c>
      <c r="E351" s="362">
        <v>3930</v>
      </c>
      <c r="F351" s="362">
        <v>700</v>
      </c>
      <c r="G351" s="362">
        <v>2140</v>
      </c>
      <c r="J351" s="347"/>
    </row>
    <row r="352" spans="1:7">
      <c r="A352" s="362" t="s">
        <v>292</v>
      </c>
      <c r="B352" s="362" t="s">
        <v>2452</v>
      </c>
      <c r="C352" s="362">
        <v>3670</v>
      </c>
      <c r="D352" s="362">
        <v>3630</v>
      </c>
      <c r="E352" s="362">
        <v>4000</v>
      </c>
      <c r="F352" s="362">
        <v>750</v>
      </c>
      <c r="G352" s="362">
        <v>2180</v>
      </c>
    </row>
    <row r="353" s="348" customFormat="1" spans="1:7">
      <c r="A353" s="362" t="s">
        <v>292</v>
      </c>
      <c r="B353" s="362" t="s">
        <v>2459</v>
      </c>
      <c r="C353" s="362">
        <v>3190</v>
      </c>
      <c r="D353" s="362">
        <v>3150</v>
      </c>
      <c r="E353" s="362">
        <v>3640</v>
      </c>
      <c r="F353" s="362">
        <v>630</v>
      </c>
      <c r="G353" s="362">
        <v>1890</v>
      </c>
    </row>
    <row r="354" s="348" customFormat="1" spans="1:7">
      <c r="A354" s="362" t="s">
        <v>292</v>
      </c>
      <c r="B354" s="362" t="s">
        <v>2466</v>
      </c>
      <c r="C354" s="362">
        <v>3450</v>
      </c>
      <c r="D354" s="362">
        <v>3420</v>
      </c>
      <c r="E354" s="362">
        <v>3960</v>
      </c>
      <c r="F354" s="362">
        <v>660</v>
      </c>
      <c r="G354" s="362">
        <v>2050</v>
      </c>
    </row>
    <row r="355" s="348" customFormat="1" spans="1:7">
      <c r="A355" s="362" t="s">
        <v>292</v>
      </c>
      <c r="B355" s="362" t="s">
        <v>2473</v>
      </c>
      <c r="C355" s="362">
        <v>3650</v>
      </c>
      <c r="D355" s="362">
        <v>3610</v>
      </c>
      <c r="E355" s="362">
        <v>4200</v>
      </c>
      <c r="F355" s="362">
        <v>640</v>
      </c>
      <c r="G355" s="362">
        <v>2160</v>
      </c>
    </row>
    <row r="356" s="348" customFormat="1" spans="1:7">
      <c r="A356" s="362" t="s">
        <v>292</v>
      </c>
      <c r="B356" s="362" t="s">
        <v>2480</v>
      </c>
      <c r="C356" s="362">
        <v>3260</v>
      </c>
      <c r="D356" s="362">
        <v>3230</v>
      </c>
      <c r="E356" s="362">
        <v>3740</v>
      </c>
      <c r="F356" s="362">
        <v>600</v>
      </c>
      <c r="G356" s="362">
        <v>1930</v>
      </c>
    </row>
    <row r="357" s="348" customFormat="1" ht="12.75" spans="1:7">
      <c r="A357" s="364" t="s">
        <v>292</v>
      </c>
      <c r="B357" s="368" t="s">
        <v>2487</v>
      </c>
      <c r="C357" s="368">
        <v>3690</v>
      </c>
      <c r="D357" s="368">
        <v>3650</v>
      </c>
      <c r="E357" s="368">
        <v>4020</v>
      </c>
      <c r="F357" s="368">
        <v>700</v>
      </c>
      <c r="G357" s="368">
        <v>2190</v>
      </c>
    </row>
    <row r="358" s="348" customFormat="1" spans="1:7">
      <c r="A358" s="360" t="s">
        <v>296</v>
      </c>
      <c r="B358" s="361" t="s">
        <v>2201</v>
      </c>
      <c r="C358" s="361">
        <v>2080</v>
      </c>
      <c r="D358" s="361">
        <v>2040</v>
      </c>
      <c r="E358" s="361">
        <v>2010</v>
      </c>
      <c r="F358" s="361">
        <v>530</v>
      </c>
      <c r="G358" s="369">
        <v>1230</v>
      </c>
    </row>
    <row r="359" s="348" customFormat="1" spans="1:7">
      <c r="A359" s="362" t="s">
        <v>296</v>
      </c>
      <c r="B359" s="362" t="s">
        <v>2214</v>
      </c>
      <c r="C359" s="362">
        <v>1850</v>
      </c>
      <c r="D359" s="362">
        <v>1820</v>
      </c>
      <c r="E359" s="362">
        <v>1780</v>
      </c>
      <c r="F359" s="362">
        <v>520</v>
      </c>
      <c r="G359" s="370">
        <v>1100</v>
      </c>
    </row>
    <row r="360" s="348" customFormat="1" spans="1:7">
      <c r="A360" s="362" t="s">
        <v>296</v>
      </c>
      <c r="B360" s="362" t="s">
        <v>2228</v>
      </c>
      <c r="C360" s="362">
        <v>2020</v>
      </c>
      <c r="D360" s="362">
        <v>1990</v>
      </c>
      <c r="E360" s="362">
        <v>1950</v>
      </c>
      <c r="F360" s="362">
        <v>500</v>
      </c>
      <c r="G360" s="370">
        <v>1200</v>
      </c>
    </row>
    <row r="361" s="348" customFormat="1" spans="1:7">
      <c r="A361" s="362" t="s">
        <v>296</v>
      </c>
      <c r="B361" s="362" t="s">
        <v>2240</v>
      </c>
      <c r="C361" s="362">
        <v>2260</v>
      </c>
      <c r="D361" s="362">
        <v>2220</v>
      </c>
      <c r="E361" s="362">
        <v>2180</v>
      </c>
      <c r="F361" s="362">
        <v>580</v>
      </c>
      <c r="G361" s="370">
        <v>1340</v>
      </c>
    </row>
    <row r="362" s="348" customFormat="1" spans="1:7">
      <c r="A362" s="362" t="s">
        <v>296</v>
      </c>
      <c r="B362" s="362" t="s">
        <v>2252</v>
      </c>
      <c r="C362" s="362">
        <v>2650</v>
      </c>
      <c r="D362" s="362">
        <v>2610</v>
      </c>
      <c r="E362" s="362">
        <v>2570</v>
      </c>
      <c r="F362" s="362">
        <v>630</v>
      </c>
      <c r="G362" s="370">
        <v>1570</v>
      </c>
    </row>
    <row r="363" s="348" customFormat="1" spans="1:7">
      <c r="A363" s="362" t="s">
        <v>296</v>
      </c>
      <c r="B363" s="362" t="s">
        <v>2263</v>
      </c>
      <c r="C363" s="362">
        <v>2390</v>
      </c>
      <c r="D363" s="362">
        <v>2360</v>
      </c>
      <c r="E363" s="362">
        <v>2320</v>
      </c>
      <c r="F363" s="362">
        <v>600</v>
      </c>
      <c r="G363" s="370">
        <v>1420</v>
      </c>
    </row>
    <row r="364" s="348" customFormat="1" spans="1:7">
      <c r="A364" s="362" t="s">
        <v>296</v>
      </c>
      <c r="B364" s="362" t="s">
        <v>2274</v>
      </c>
      <c r="C364" s="362">
        <v>2050</v>
      </c>
      <c r="D364" s="362">
        <v>2030</v>
      </c>
      <c r="E364" s="362">
        <v>1990</v>
      </c>
      <c r="F364" s="362">
        <v>550</v>
      </c>
      <c r="G364" s="370">
        <v>1220</v>
      </c>
    </row>
    <row r="365" s="348" customFormat="1" spans="1:7">
      <c r="A365" s="362" t="s">
        <v>296</v>
      </c>
      <c r="B365" s="362" t="s">
        <v>2285</v>
      </c>
      <c r="C365" s="362">
        <v>2140</v>
      </c>
      <c r="D365" s="362">
        <v>2100</v>
      </c>
      <c r="E365" s="362">
        <v>2060</v>
      </c>
      <c r="F365" s="362">
        <v>540</v>
      </c>
      <c r="G365" s="370">
        <v>1270</v>
      </c>
    </row>
    <row r="366" s="348" customFormat="1" spans="1:7">
      <c r="A366" s="362" t="s">
        <v>296</v>
      </c>
      <c r="B366" s="362" t="s">
        <v>2295</v>
      </c>
      <c r="C366" s="362">
        <v>2410</v>
      </c>
      <c r="D366" s="362">
        <v>2370</v>
      </c>
      <c r="E366" s="362">
        <v>2330</v>
      </c>
      <c r="F366" s="362">
        <v>570</v>
      </c>
      <c r="G366" s="370">
        <v>1440</v>
      </c>
    </row>
    <row r="367" s="348" customFormat="1" spans="1:7">
      <c r="A367" s="362" t="s">
        <v>296</v>
      </c>
      <c r="B367" s="362" t="s">
        <v>2305</v>
      </c>
      <c r="C367" s="362">
        <v>2300</v>
      </c>
      <c r="D367" s="362">
        <v>2260</v>
      </c>
      <c r="E367" s="362">
        <v>2220</v>
      </c>
      <c r="F367" s="362">
        <v>560</v>
      </c>
      <c r="G367" s="370">
        <v>1370</v>
      </c>
    </row>
    <row r="368" s="348" customFormat="1" spans="1:7">
      <c r="A368" s="362" t="s">
        <v>296</v>
      </c>
      <c r="B368" s="362" t="s">
        <v>2315</v>
      </c>
      <c r="C368" s="362">
        <v>2430</v>
      </c>
      <c r="D368" s="362">
        <v>2390</v>
      </c>
      <c r="E368" s="362">
        <v>2350</v>
      </c>
      <c r="F368" s="362">
        <v>570</v>
      </c>
      <c r="G368" s="370">
        <v>1450</v>
      </c>
    </row>
    <row r="369" s="348" customFormat="1" spans="1:7">
      <c r="A369" s="362" t="s">
        <v>296</v>
      </c>
      <c r="B369" s="362" t="s">
        <v>2325</v>
      </c>
      <c r="C369" s="362">
        <v>2320</v>
      </c>
      <c r="D369" s="362">
        <v>2290</v>
      </c>
      <c r="E369" s="362">
        <v>2250</v>
      </c>
      <c r="F369" s="362">
        <v>550</v>
      </c>
      <c r="G369" s="370">
        <v>1380</v>
      </c>
    </row>
    <row r="370" s="348" customFormat="1" spans="1:7">
      <c r="A370" s="362" t="s">
        <v>296</v>
      </c>
      <c r="B370" s="362" t="s">
        <v>2335</v>
      </c>
      <c r="C370" s="362">
        <v>2190</v>
      </c>
      <c r="D370" s="362">
        <v>2170</v>
      </c>
      <c r="E370" s="362">
        <v>2130</v>
      </c>
      <c r="F370" s="362">
        <v>530</v>
      </c>
      <c r="G370" s="370">
        <v>1310</v>
      </c>
    </row>
    <row r="371" s="348" customFormat="1" spans="1:7">
      <c r="A371" s="362" t="s">
        <v>296</v>
      </c>
      <c r="B371" s="362" t="s">
        <v>2345</v>
      </c>
      <c r="C371" s="362">
        <v>2460</v>
      </c>
      <c r="D371" s="362">
        <v>2420</v>
      </c>
      <c r="E371" s="362">
        <v>2370</v>
      </c>
      <c r="F371" s="362">
        <v>560</v>
      </c>
      <c r="G371" s="370">
        <v>1470</v>
      </c>
    </row>
    <row r="372" s="348" customFormat="1" spans="1:7">
      <c r="A372" s="362" t="s">
        <v>296</v>
      </c>
      <c r="B372" s="362" t="s">
        <v>2355</v>
      </c>
      <c r="C372" s="362">
        <v>2250</v>
      </c>
      <c r="D372" s="362">
        <v>2210</v>
      </c>
      <c r="E372" s="362">
        <v>2180</v>
      </c>
      <c r="F372" s="362">
        <v>550</v>
      </c>
      <c r="G372" s="370">
        <v>1340</v>
      </c>
    </row>
    <row r="373" s="348" customFormat="1" spans="1:7">
      <c r="A373" s="362" t="s">
        <v>296</v>
      </c>
      <c r="B373" s="362" t="s">
        <v>2365</v>
      </c>
      <c r="C373" s="362">
        <v>2210</v>
      </c>
      <c r="D373" s="362">
        <v>2190</v>
      </c>
      <c r="E373" s="362">
        <v>2150</v>
      </c>
      <c r="F373" s="362">
        <v>530</v>
      </c>
      <c r="G373" s="370">
        <v>1320</v>
      </c>
    </row>
    <row r="374" s="348" customFormat="1" spans="1:7">
      <c r="A374" s="362" t="s">
        <v>296</v>
      </c>
      <c r="B374" s="362" t="s">
        <v>2375</v>
      </c>
      <c r="C374" s="362">
        <v>2320</v>
      </c>
      <c r="D374" s="362">
        <v>2280</v>
      </c>
      <c r="E374" s="362">
        <v>2230</v>
      </c>
      <c r="F374" s="362">
        <v>580</v>
      </c>
      <c r="G374" s="370">
        <v>1380</v>
      </c>
    </row>
    <row r="375" s="348" customFormat="1" spans="1:7">
      <c r="A375" s="362" t="s">
        <v>296</v>
      </c>
      <c r="B375" s="362" t="s">
        <v>2385</v>
      </c>
      <c r="C375" s="362">
        <v>2090</v>
      </c>
      <c r="D375" s="362">
        <v>2050</v>
      </c>
      <c r="E375" s="362">
        <v>2020</v>
      </c>
      <c r="F375" s="362">
        <v>520</v>
      </c>
      <c r="G375" s="370">
        <v>1240</v>
      </c>
    </row>
    <row r="376" s="348" customFormat="1" spans="1:7">
      <c r="A376" s="362" t="s">
        <v>296</v>
      </c>
      <c r="B376" s="362" t="s">
        <v>2395</v>
      </c>
      <c r="C376" s="362">
        <v>2010</v>
      </c>
      <c r="D376" s="362">
        <v>1980</v>
      </c>
      <c r="E376" s="362">
        <v>1940</v>
      </c>
      <c r="F376" s="362">
        <v>540</v>
      </c>
      <c r="G376" s="370">
        <v>1190</v>
      </c>
    </row>
    <row r="377" s="348" customFormat="1" ht="12.75" spans="1:7">
      <c r="A377" s="364" t="s">
        <v>296</v>
      </c>
      <c r="B377" s="368" t="s">
        <v>2405</v>
      </c>
      <c r="C377" s="368">
        <v>1930</v>
      </c>
      <c r="D377" s="368">
        <v>1890</v>
      </c>
      <c r="E377" s="368">
        <v>1860</v>
      </c>
      <c r="F377" s="368">
        <v>530</v>
      </c>
      <c r="G377" s="377">
        <v>1150</v>
      </c>
    </row>
    <row r="378" s="348" customFormat="1" spans="1:7">
      <c r="A378" s="378" t="s">
        <v>300</v>
      </c>
      <c r="B378" s="361" t="s">
        <v>2202</v>
      </c>
      <c r="C378" s="361">
        <v>1520</v>
      </c>
      <c r="D378" s="361">
        <v>1490</v>
      </c>
      <c r="E378" s="361">
        <v>1460</v>
      </c>
      <c r="F378" s="361">
        <v>460</v>
      </c>
      <c r="G378" s="369">
        <v>940</v>
      </c>
    </row>
    <row r="379" s="348" customFormat="1" spans="1:7">
      <c r="A379" s="379" t="s">
        <v>300</v>
      </c>
      <c r="B379" s="362" t="s">
        <v>2215</v>
      </c>
      <c r="C379" s="362">
        <v>1500</v>
      </c>
      <c r="D379" s="362">
        <v>1470</v>
      </c>
      <c r="E379" s="362">
        <v>1430</v>
      </c>
      <c r="F379" s="362">
        <v>460</v>
      </c>
      <c r="G379" s="370">
        <v>920</v>
      </c>
    </row>
    <row r="380" s="348" customFormat="1" spans="1:7">
      <c r="A380" s="379" t="s">
        <v>300</v>
      </c>
      <c r="B380" s="362" t="s">
        <v>2229</v>
      </c>
      <c r="C380" s="362">
        <v>1620</v>
      </c>
      <c r="D380" s="362">
        <v>1590</v>
      </c>
      <c r="E380" s="362">
        <v>1560</v>
      </c>
      <c r="F380" s="362">
        <v>480</v>
      </c>
      <c r="G380" s="370">
        <v>1000</v>
      </c>
    </row>
    <row r="381" s="348" customFormat="1" spans="1:7">
      <c r="A381" s="379" t="s">
        <v>300</v>
      </c>
      <c r="B381" s="362" t="s">
        <v>2241</v>
      </c>
      <c r="C381" s="362">
        <v>1460</v>
      </c>
      <c r="D381" s="362">
        <v>1430</v>
      </c>
      <c r="E381" s="362">
        <v>1390</v>
      </c>
      <c r="F381" s="362">
        <v>450</v>
      </c>
      <c r="G381" s="370">
        <v>900</v>
      </c>
    </row>
    <row r="382" s="348" customFormat="1" spans="1:7">
      <c r="A382" s="379" t="s">
        <v>300</v>
      </c>
      <c r="B382" s="362" t="s">
        <v>2253</v>
      </c>
      <c r="C382" s="362">
        <v>1310</v>
      </c>
      <c r="D382" s="362">
        <v>1280</v>
      </c>
      <c r="E382" s="362">
        <v>1250</v>
      </c>
      <c r="F382" s="362">
        <v>440</v>
      </c>
      <c r="G382" s="370">
        <v>800</v>
      </c>
    </row>
    <row r="383" s="348" customFormat="1" spans="1:7">
      <c r="A383" s="379" t="s">
        <v>300</v>
      </c>
      <c r="B383" s="362" t="s">
        <v>2264</v>
      </c>
      <c r="C383" s="362">
        <v>1260</v>
      </c>
      <c r="D383" s="362">
        <v>1230</v>
      </c>
      <c r="E383" s="362">
        <v>1200</v>
      </c>
      <c r="F383" s="362">
        <v>420</v>
      </c>
      <c r="G383" s="370">
        <v>770</v>
      </c>
    </row>
    <row r="384" s="348" customFormat="1" ht="12.75" spans="1:7">
      <c r="A384" s="380" t="s">
        <v>300</v>
      </c>
      <c r="B384" s="366" t="s">
        <v>2275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2574</v>
      </c>
      <c r="B1" s="312"/>
    </row>
    <row r="2" ht="14.75" spans="1:2">
      <c r="A2" s="312"/>
      <c r="B2" s="312"/>
    </row>
    <row r="3" ht="14.75" spans="1:7">
      <c r="A3" s="312"/>
      <c r="B3" s="312"/>
      <c r="C3" s="313" t="s">
        <v>1863</v>
      </c>
      <c r="D3" s="313" t="s">
        <v>1864</v>
      </c>
      <c r="E3" s="313" t="s">
        <v>412</v>
      </c>
      <c r="F3" s="313" t="s">
        <v>408</v>
      </c>
      <c r="G3" s="313" t="s">
        <v>280</v>
      </c>
    </row>
    <row r="4" ht="14.75" spans="1:7">
      <c r="A4" s="314" t="s">
        <v>2203</v>
      </c>
      <c r="B4" s="315" t="s">
        <v>2216</v>
      </c>
      <c r="C4" s="313"/>
      <c r="D4" s="313"/>
      <c r="E4" s="313"/>
      <c r="F4" s="313"/>
      <c r="G4" s="313"/>
    </row>
    <row r="5" spans="1:7">
      <c r="A5" s="316" t="s">
        <v>230</v>
      </c>
      <c r="B5" s="317" t="s">
        <v>2191</v>
      </c>
      <c r="C5" s="318">
        <v>0.098</v>
      </c>
      <c r="D5" s="318">
        <v>0.087</v>
      </c>
      <c r="E5" s="318">
        <v>0.087</v>
      </c>
      <c r="F5" s="318">
        <v>0.098</v>
      </c>
      <c r="G5" s="319">
        <v>0.095</v>
      </c>
    </row>
    <row r="6" spans="1:7">
      <c r="A6" s="320" t="s">
        <v>230</v>
      </c>
      <c r="B6" s="321" t="s">
        <v>2204</v>
      </c>
      <c r="C6" s="322">
        <v>0.098</v>
      </c>
      <c r="D6" s="322">
        <v>0.098</v>
      </c>
      <c r="E6" s="322">
        <v>0.098</v>
      </c>
      <c r="F6" s="322">
        <v>0.1</v>
      </c>
      <c r="G6" s="323">
        <v>0.099</v>
      </c>
    </row>
    <row r="7" spans="1:7">
      <c r="A7" s="320" t="s">
        <v>230</v>
      </c>
      <c r="B7" s="321" t="s">
        <v>2218</v>
      </c>
      <c r="C7" s="322">
        <v>0.097</v>
      </c>
      <c r="D7" s="322">
        <v>0.097</v>
      </c>
      <c r="E7" s="322">
        <v>0.096</v>
      </c>
      <c r="F7" s="322">
        <v>0.1</v>
      </c>
      <c r="G7" s="323">
        <v>0.098</v>
      </c>
    </row>
    <row r="8" spans="1:7">
      <c r="A8" s="320" t="s">
        <v>230</v>
      </c>
      <c r="B8" s="321" t="s">
        <v>2230</v>
      </c>
      <c r="C8" s="322">
        <v>0.081</v>
      </c>
      <c r="D8" s="322">
        <v>0.082</v>
      </c>
      <c r="E8" s="322">
        <v>0.07</v>
      </c>
      <c r="F8" s="322">
        <v>0.096</v>
      </c>
      <c r="G8" s="323">
        <v>0.089</v>
      </c>
    </row>
    <row r="9" ht="14.75" spans="1:7">
      <c r="A9" s="324" t="s">
        <v>230</v>
      </c>
      <c r="B9" s="325" t="s">
        <v>2242</v>
      </c>
      <c r="C9" s="326">
        <v>0.1</v>
      </c>
      <c r="D9" s="326">
        <v>0.1</v>
      </c>
      <c r="E9" s="326">
        <v>0.1</v>
      </c>
      <c r="F9" s="327"/>
      <c r="G9" s="328">
        <v>0.1</v>
      </c>
    </row>
    <row r="10" spans="1:7">
      <c r="A10" s="316" t="s">
        <v>241</v>
      </c>
      <c r="B10" s="317" t="s">
        <v>2192</v>
      </c>
      <c r="C10" s="318">
        <v>0.067</v>
      </c>
      <c r="D10" s="318">
        <v>0.079</v>
      </c>
      <c r="E10" s="318">
        <v>0.079</v>
      </c>
      <c r="F10" s="318">
        <v>0.1</v>
      </c>
      <c r="G10" s="319">
        <v>0.091</v>
      </c>
    </row>
    <row r="11" spans="1:7">
      <c r="A11" s="320" t="s">
        <v>241</v>
      </c>
      <c r="B11" s="321" t="s">
        <v>2205</v>
      </c>
      <c r="C11" s="322">
        <v>0.05</v>
      </c>
      <c r="D11" s="322">
        <v>0.053</v>
      </c>
      <c r="E11" s="322">
        <v>0.063</v>
      </c>
      <c r="F11" s="322">
        <v>0.1</v>
      </c>
      <c r="G11" s="323">
        <v>0.072</v>
      </c>
    </row>
    <row r="12" spans="1:7">
      <c r="A12" s="320" t="s">
        <v>241</v>
      </c>
      <c r="B12" s="321" t="s">
        <v>2219</v>
      </c>
      <c r="C12" s="322">
        <v>0.053</v>
      </c>
      <c r="D12" s="322">
        <v>0.09</v>
      </c>
      <c r="E12" s="322">
        <v>0.072</v>
      </c>
      <c r="F12" s="322">
        <v>0.1</v>
      </c>
      <c r="G12" s="323">
        <v>0.097</v>
      </c>
    </row>
    <row r="13" spans="1:7">
      <c r="A13" s="320" t="s">
        <v>241</v>
      </c>
      <c r="B13" s="321" t="s">
        <v>2231</v>
      </c>
      <c r="C13" s="322">
        <v>0.097</v>
      </c>
      <c r="D13" s="322">
        <v>0.092</v>
      </c>
      <c r="E13" s="322">
        <v>0.095</v>
      </c>
      <c r="F13" s="322">
        <v>0.1</v>
      </c>
      <c r="G13" s="323">
        <v>0.097</v>
      </c>
    </row>
    <row r="14" spans="1:7">
      <c r="A14" s="320" t="s">
        <v>241</v>
      </c>
      <c r="B14" s="321" t="s">
        <v>2243</v>
      </c>
      <c r="C14" s="322">
        <v>0.097</v>
      </c>
      <c r="D14" s="322">
        <v>0.097</v>
      </c>
      <c r="E14" s="322">
        <v>0.097</v>
      </c>
      <c r="F14" s="322">
        <v>0.1</v>
      </c>
      <c r="G14" s="323">
        <v>0.098</v>
      </c>
    </row>
    <row r="15" spans="1:7">
      <c r="A15" s="320" t="s">
        <v>241</v>
      </c>
      <c r="B15" s="321" t="s">
        <v>2254</v>
      </c>
      <c r="C15" s="322">
        <v>0.098</v>
      </c>
      <c r="D15" s="322">
        <v>0.091</v>
      </c>
      <c r="E15" s="322">
        <v>0.06</v>
      </c>
      <c r="F15" s="322">
        <v>0.1</v>
      </c>
      <c r="G15" s="323">
        <v>0.097</v>
      </c>
    </row>
    <row r="16" spans="1:7">
      <c r="A16" s="320" t="s">
        <v>241</v>
      </c>
      <c r="B16" s="321" t="s">
        <v>2265</v>
      </c>
      <c r="C16" s="322">
        <v>0.098</v>
      </c>
      <c r="D16" s="322">
        <v>0.097</v>
      </c>
      <c r="E16" s="322">
        <v>0.095</v>
      </c>
      <c r="F16" s="322">
        <v>0.1</v>
      </c>
      <c r="G16" s="323">
        <v>0.099</v>
      </c>
    </row>
    <row r="17" spans="1:7">
      <c r="A17" s="320" t="s">
        <v>241</v>
      </c>
      <c r="B17" s="321" t="s">
        <v>2276</v>
      </c>
      <c r="C17" s="322">
        <v>0.089</v>
      </c>
      <c r="D17" s="322">
        <v>0.092</v>
      </c>
      <c r="E17" s="322">
        <v>0.061</v>
      </c>
      <c r="F17" s="322">
        <v>0.1</v>
      </c>
      <c r="G17" s="323">
        <v>0.097</v>
      </c>
    </row>
    <row r="18" spans="1:7">
      <c r="A18" s="320" t="s">
        <v>241</v>
      </c>
      <c r="B18" s="321" t="s">
        <v>2286</v>
      </c>
      <c r="C18" s="322">
        <v>0.098</v>
      </c>
      <c r="D18" s="322">
        <v>0.098</v>
      </c>
      <c r="E18" s="322">
        <v>0.098</v>
      </c>
      <c r="F18" s="329"/>
      <c r="G18" s="323">
        <v>0.099</v>
      </c>
    </row>
    <row r="19" spans="1:7">
      <c r="A19" s="320" t="s">
        <v>241</v>
      </c>
      <c r="B19" s="321" t="s">
        <v>2296</v>
      </c>
      <c r="C19" s="322">
        <v>0.099</v>
      </c>
      <c r="D19" s="322">
        <v>0.074</v>
      </c>
      <c r="E19" s="322">
        <v>0.081</v>
      </c>
      <c r="F19" s="329"/>
      <c r="G19" s="323">
        <v>0.093</v>
      </c>
    </row>
    <row r="20" spans="1:7">
      <c r="A20" s="320" t="s">
        <v>241</v>
      </c>
      <c r="B20" s="321" t="s">
        <v>2306</v>
      </c>
      <c r="C20" s="322">
        <v>0.1</v>
      </c>
      <c r="D20" s="322">
        <v>0.089</v>
      </c>
      <c r="E20" s="322">
        <v>0.089</v>
      </c>
      <c r="F20" s="329"/>
      <c r="G20" s="323">
        <v>0.095</v>
      </c>
    </row>
    <row r="21" spans="1:7">
      <c r="A21" s="320" t="s">
        <v>241</v>
      </c>
      <c r="B21" s="321" t="s">
        <v>2316</v>
      </c>
      <c r="C21" s="322">
        <v>0.1</v>
      </c>
      <c r="D21" s="322">
        <v>0.091</v>
      </c>
      <c r="E21" s="322">
        <v>0.082</v>
      </c>
      <c r="F21" s="329"/>
      <c r="G21" s="323">
        <v>0.097</v>
      </c>
    </row>
    <row r="22" spans="1:7">
      <c r="A22" s="320" t="s">
        <v>241</v>
      </c>
      <c r="B22" s="321" t="s">
        <v>2326</v>
      </c>
      <c r="C22" s="322">
        <v>0.095</v>
      </c>
      <c r="D22" s="322">
        <v>0.099</v>
      </c>
      <c r="E22" s="322">
        <v>0.098</v>
      </c>
      <c r="F22" s="329"/>
      <c r="G22" s="323">
        <v>0.1</v>
      </c>
    </row>
    <row r="23" spans="1:7">
      <c r="A23" s="320" t="s">
        <v>241</v>
      </c>
      <c r="B23" s="321" t="s">
        <v>2336</v>
      </c>
      <c r="C23" s="322">
        <v>0.099</v>
      </c>
      <c r="D23" s="322">
        <v>0.1</v>
      </c>
      <c r="E23" s="322">
        <v>0.1</v>
      </c>
      <c r="F23" s="329"/>
      <c r="G23" s="323">
        <v>0.1</v>
      </c>
    </row>
    <row r="24" spans="1:7">
      <c r="A24" s="320" t="s">
        <v>241</v>
      </c>
      <c r="B24" s="321" t="s">
        <v>2346</v>
      </c>
      <c r="C24" s="322">
        <v>0.095</v>
      </c>
      <c r="D24" s="322">
        <v>0.1</v>
      </c>
      <c r="E24" s="322">
        <v>0.098</v>
      </c>
      <c r="F24" s="329"/>
      <c r="G24" s="323">
        <v>0.1</v>
      </c>
    </row>
    <row r="25" spans="1:7">
      <c r="A25" s="320" t="s">
        <v>241</v>
      </c>
      <c r="B25" s="321" t="s">
        <v>2356</v>
      </c>
      <c r="C25" s="322">
        <v>0.05</v>
      </c>
      <c r="D25" s="322">
        <v>0.096</v>
      </c>
      <c r="E25" s="322">
        <v>0.096</v>
      </c>
      <c r="F25" s="329"/>
      <c r="G25" s="323">
        <v>0.096</v>
      </c>
    </row>
    <row r="26" spans="1:7">
      <c r="A26" s="320" t="s">
        <v>241</v>
      </c>
      <c r="B26" s="321" t="s">
        <v>2366</v>
      </c>
      <c r="C26" s="322">
        <v>0.063</v>
      </c>
      <c r="D26" s="322">
        <v>0.099</v>
      </c>
      <c r="E26" s="322">
        <v>0.098</v>
      </c>
      <c r="F26" s="329"/>
      <c r="G26" s="323">
        <v>0.1</v>
      </c>
    </row>
    <row r="27" spans="1:7">
      <c r="A27" s="320" t="s">
        <v>241</v>
      </c>
      <c r="B27" s="321" t="s">
        <v>2376</v>
      </c>
      <c r="C27" s="322">
        <v>0.052</v>
      </c>
      <c r="D27" s="322">
        <v>0.095</v>
      </c>
      <c r="E27" s="322">
        <v>0.064</v>
      </c>
      <c r="F27" s="329"/>
      <c r="G27" s="323">
        <v>0.097</v>
      </c>
    </row>
    <row r="28" spans="1:7">
      <c r="A28" s="320" t="s">
        <v>241</v>
      </c>
      <c r="B28" s="321" t="s">
        <v>2386</v>
      </c>
      <c r="C28" s="329"/>
      <c r="D28" s="322">
        <v>0.063</v>
      </c>
      <c r="E28" s="322">
        <v>0.052</v>
      </c>
      <c r="F28" s="329"/>
      <c r="G28" s="323">
        <v>0.063</v>
      </c>
    </row>
    <row r="29" ht="14.75" spans="1:7">
      <c r="A29" s="324" t="s">
        <v>241</v>
      </c>
      <c r="B29" s="325" t="s">
        <v>2396</v>
      </c>
      <c r="C29" s="330"/>
      <c r="D29" s="326">
        <v>0.052</v>
      </c>
      <c r="E29" s="326">
        <v>0.07</v>
      </c>
      <c r="F29" s="330"/>
      <c r="G29" s="328">
        <v>0.071</v>
      </c>
    </row>
    <row r="30" spans="1:7">
      <c r="A30" s="331" t="s">
        <v>251</v>
      </c>
      <c r="B30" s="317" t="s">
        <v>2193</v>
      </c>
      <c r="C30" s="318">
        <v>0.066</v>
      </c>
      <c r="D30" s="318">
        <v>0.066</v>
      </c>
      <c r="E30" s="318">
        <v>0.057</v>
      </c>
      <c r="F30" s="318">
        <v>0.1</v>
      </c>
      <c r="G30" s="319">
        <v>0.068</v>
      </c>
    </row>
    <row r="31" spans="1:7">
      <c r="A31" s="332" t="s">
        <v>251</v>
      </c>
      <c r="B31" s="321" t="s">
        <v>2206</v>
      </c>
      <c r="C31" s="322">
        <v>0.055</v>
      </c>
      <c r="D31" s="322">
        <v>0.082</v>
      </c>
      <c r="E31" s="322">
        <v>0.064</v>
      </c>
      <c r="F31" s="322">
        <v>0.1</v>
      </c>
      <c r="G31" s="323">
        <v>0.095</v>
      </c>
    </row>
    <row r="32" spans="1:7">
      <c r="A32" s="332" t="s">
        <v>251</v>
      </c>
      <c r="B32" s="321" t="s">
        <v>2220</v>
      </c>
      <c r="C32" s="322">
        <v>0.082</v>
      </c>
      <c r="D32" s="322">
        <v>0.087</v>
      </c>
      <c r="E32" s="322">
        <v>0.095</v>
      </c>
      <c r="F32" s="322">
        <v>0.1</v>
      </c>
      <c r="G32" s="323">
        <v>0.096</v>
      </c>
    </row>
    <row r="33" spans="1:7">
      <c r="A33" s="332" t="s">
        <v>251</v>
      </c>
      <c r="B33" s="321" t="s">
        <v>2232</v>
      </c>
      <c r="C33" s="322">
        <v>0.099</v>
      </c>
      <c r="D33" s="322">
        <v>0.092</v>
      </c>
      <c r="E33" s="322">
        <v>0.087</v>
      </c>
      <c r="F33" s="322">
        <v>0.1</v>
      </c>
      <c r="G33" s="323">
        <v>0.097</v>
      </c>
    </row>
    <row r="34" spans="1:7">
      <c r="A34" s="332" t="s">
        <v>251</v>
      </c>
      <c r="B34" s="321" t="s">
        <v>2244</v>
      </c>
      <c r="C34" s="322">
        <v>0.084</v>
      </c>
      <c r="D34" s="322">
        <v>0.097</v>
      </c>
      <c r="E34" s="322">
        <v>0.071</v>
      </c>
      <c r="F34" s="322">
        <v>0.1</v>
      </c>
      <c r="G34" s="323">
        <v>0.098</v>
      </c>
    </row>
    <row r="35" spans="1:7">
      <c r="A35" s="332" t="s">
        <v>251</v>
      </c>
      <c r="B35" s="321" t="s">
        <v>2255</v>
      </c>
      <c r="C35" s="322">
        <v>0.083</v>
      </c>
      <c r="D35" s="322">
        <v>0.097</v>
      </c>
      <c r="E35" s="322">
        <v>0.061</v>
      </c>
      <c r="F35" s="322">
        <v>0.1</v>
      </c>
      <c r="G35" s="323">
        <v>0.099</v>
      </c>
    </row>
    <row r="36" spans="1:7">
      <c r="A36" s="332" t="s">
        <v>251</v>
      </c>
      <c r="B36" s="321" t="s">
        <v>2266</v>
      </c>
      <c r="C36" s="322">
        <v>0.097</v>
      </c>
      <c r="D36" s="322">
        <v>0.097</v>
      </c>
      <c r="E36" s="322">
        <v>0.078</v>
      </c>
      <c r="F36" s="322">
        <v>0.1</v>
      </c>
      <c r="G36" s="323">
        <v>0.099</v>
      </c>
    </row>
    <row r="37" spans="1:7">
      <c r="A37" s="332" t="s">
        <v>251</v>
      </c>
      <c r="B37" s="321" t="s">
        <v>2277</v>
      </c>
      <c r="C37" s="322">
        <v>0.097</v>
      </c>
      <c r="D37" s="322">
        <v>0.095</v>
      </c>
      <c r="E37" s="322">
        <v>0.078</v>
      </c>
      <c r="F37" s="322">
        <v>0.1</v>
      </c>
      <c r="G37" s="323">
        <v>0.097</v>
      </c>
    </row>
    <row r="38" spans="1:7">
      <c r="A38" s="332" t="s">
        <v>251</v>
      </c>
      <c r="B38" s="321" t="s">
        <v>2287</v>
      </c>
      <c r="C38" s="322">
        <v>0.097</v>
      </c>
      <c r="D38" s="322">
        <v>0.077</v>
      </c>
      <c r="E38" s="322">
        <v>0.07</v>
      </c>
      <c r="F38" s="322">
        <v>0.1</v>
      </c>
      <c r="G38" s="323">
        <v>0.077</v>
      </c>
    </row>
    <row r="39" spans="1:7">
      <c r="A39" s="332" t="s">
        <v>251</v>
      </c>
      <c r="B39" s="321" t="s">
        <v>2297</v>
      </c>
      <c r="C39" s="322">
        <v>0.095</v>
      </c>
      <c r="D39" s="322">
        <v>0.077</v>
      </c>
      <c r="E39" s="322">
        <v>0.066</v>
      </c>
      <c r="F39" s="322">
        <v>0.1</v>
      </c>
      <c r="G39" s="323">
        <v>0.086</v>
      </c>
    </row>
    <row r="40" spans="1:7">
      <c r="A40" s="332" t="s">
        <v>251</v>
      </c>
      <c r="B40" s="321" t="s">
        <v>2307</v>
      </c>
      <c r="C40" s="322">
        <v>0.077</v>
      </c>
      <c r="D40" s="322">
        <v>0.078</v>
      </c>
      <c r="E40" s="322">
        <v>0.082</v>
      </c>
      <c r="F40" s="333"/>
      <c r="G40" s="323">
        <v>0.078</v>
      </c>
    </row>
    <row r="41" spans="1:7">
      <c r="A41" s="332" t="s">
        <v>251</v>
      </c>
      <c r="B41" s="321" t="s">
        <v>2317</v>
      </c>
      <c r="C41" s="322">
        <v>0.078</v>
      </c>
      <c r="D41" s="322">
        <v>0.078</v>
      </c>
      <c r="E41" s="322">
        <v>0.082</v>
      </c>
      <c r="F41" s="333"/>
      <c r="G41" s="323">
        <v>0.086</v>
      </c>
    </row>
    <row r="42" spans="1:7">
      <c r="A42" s="332" t="s">
        <v>251</v>
      </c>
      <c r="B42" s="321" t="s">
        <v>2327</v>
      </c>
      <c r="C42" s="322">
        <v>0.078</v>
      </c>
      <c r="D42" s="322">
        <v>0.096</v>
      </c>
      <c r="E42" s="322">
        <v>0.072</v>
      </c>
      <c r="F42" s="333"/>
      <c r="G42" s="323">
        <v>0.098</v>
      </c>
    </row>
    <row r="43" spans="1:7">
      <c r="A43" s="332" t="s">
        <v>251</v>
      </c>
      <c r="B43" s="321" t="s">
        <v>2337</v>
      </c>
      <c r="C43" s="322">
        <v>0.078</v>
      </c>
      <c r="D43" s="322">
        <v>0.099</v>
      </c>
      <c r="E43" s="322">
        <v>0.096</v>
      </c>
      <c r="F43" s="333"/>
      <c r="G43" s="323">
        <v>0.1</v>
      </c>
    </row>
    <row r="44" spans="1:7">
      <c r="A44" s="332" t="s">
        <v>251</v>
      </c>
      <c r="B44" s="321" t="s">
        <v>2347</v>
      </c>
      <c r="C44" s="322">
        <v>0.096</v>
      </c>
      <c r="D44" s="322">
        <v>0.1</v>
      </c>
      <c r="E44" s="322">
        <v>0.098</v>
      </c>
      <c r="F44" s="333"/>
      <c r="G44" s="323">
        <v>0.1</v>
      </c>
    </row>
    <row r="45" spans="1:7">
      <c r="A45" s="332" t="s">
        <v>251</v>
      </c>
      <c r="B45" s="321" t="s">
        <v>2357</v>
      </c>
      <c r="C45" s="322">
        <v>0.099</v>
      </c>
      <c r="D45" s="322">
        <v>0.098</v>
      </c>
      <c r="E45" s="322">
        <v>0.095</v>
      </c>
      <c r="F45" s="333"/>
      <c r="G45" s="323">
        <v>0.098</v>
      </c>
    </row>
    <row r="46" spans="1:7">
      <c r="A46" s="332" t="s">
        <v>251</v>
      </c>
      <c r="B46" s="321" t="s">
        <v>2367</v>
      </c>
      <c r="C46" s="322">
        <v>0.1</v>
      </c>
      <c r="D46" s="322">
        <v>0.099</v>
      </c>
      <c r="E46" s="322">
        <v>0.096</v>
      </c>
      <c r="F46" s="333"/>
      <c r="G46" s="323">
        <v>0.1</v>
      </c>
    </row>
    <row r="47" spans="1:7">
      <c r="A47" s="332" t="s">
        <v>251</v>
      </c>
      <c r="B47" s="321" t="s">
        <v>2377</v>
      </c>
      <c r="C47" s="322">
        <v>0.098</v>
      </c>
      <c r="D47" s="322">
        <v>0.087</v>
      </c>
      <c r="E47" s="322">
        <v>0.059</v>
      </c>
      <c r="F47" s="333"/>
      <c r="G47" s="323">
        <v>0.096</v>
      </c>
    </row>
    <row r="48" spans="1:7">
      <c r="A48" s="332" t="s">
        <v>251</v>
      </c>
      <c r="B48" s="321" t="s">
        <v>2387</v>
      </c>
      <c r="C48" s="322">
        <v>0.099</v>
      </c>
      <c r="D48" s="322">
        <v>0.098</v>
      </c>
      <c r="E48" s="322">
        <v>0.095</v>
      </c>
      <c r="F48" s="333"/>
      <c r="G48" s="323">
        <v>0.098</v>
      </c>
    </row>
    <row r="49" spans="1:7">
      <c r="A49" s="332" t="s">
        <v>251</v>
      </c>
      <c r="B49" s="321" t="s">
        <v>2397</v>
      </c>
      <c r="C49" s="322">
        <v>0.088</v>
      </c>
      <c r="D49" s="322">
        <v>0.099</v>
      </c>
      <c r="E49" s="322">
        <v>0.07</v>
      </c>
      <c r="F49" s="333"/>
      <c r="G49" s="323">
        <v>0.1</v>
      </c>
    </row>
    <row r="50" spans="1:7">
      <c r="A50" s="332" t="s">
        <v>251</v>
      </c>
      <c r="B50" s="321" t="s">
        <v>2406</v>
      </c>
      <c r="C50" s="322">
        <v>0.098</v>
      </c>
      <c r="D50" s="322">
        <v>0.073</v>
      </c>
      <c r="E50" s="322">
        <v>0.071</v>
      </c>
      <c r="F50" s="333"/>
      <c r="G50" s="323">
        <v>0.073</v>
      </c>
    </row>
    <row r="51" spans="1:7">
      <c r="A51" s="332" t="s">
        <v>251</v>
      </c>
      <c r="B51" s="321" t="s">
        <v>2414</v>
      </c>
      <c r="C51" s="322">
        <v>0.099</v>
      </c>
      <c r="D51" s="322">
        <v>0.085</v>
      </c>
      <c r="E51" s="322">
        <v>0.063</v>
      </c>
      <c r="F51" s="333"/>
      <c r="G51" s="323">
        <v>0.096</v>
      </c>
    </row>
    <row r="52" spans="1:7">
      <c r="A52" s="332" t="s">
        <v>251</v>
      </c>
      <c r="B52" s="321" t="s">
        <v>2422</v>
      </c>
      <c r="C52" s="322">
        <v>0.074</v>
      </c>
      <c r="D52" s="322">
        <v>0.096</v>
      </c>
      <c r="E52" s="322">
        <v>0.05</v>
      </c>
      <c r="F52" s="333"/>
      <c r="G52" s="323">
        <v>0.098</v>
      </c>
    </row>
    <row r="53" spans="1:7">
      <c r="A53" s="332" t="s">
        <v>251</v>
      </c>
      <c r="B53" s="321" t="s">
        <v>2430</v>
      </c>
      <c r="C53" s="322">
        <v>0.086</v>
      </c>
      <c r="D53" s="333"/>
      <c r="E53" s="322">
        <v>0.092</v>
      </c>
      <c r="F53" s="333"/>
      <c r="G53" s="334"/>
    </row>
    <row r="54" ht="14.75" spans="1:7">
      <c r="A54" s="335" t="s">
        <v>251</v>
      </c>
      <c r="B54" s="325" t="s">
        <v>2438</v>
      </c>
      <c r="C54" s="326">
        <v>0.096</v>
      </c>
      <c r="D54" s="327"/>
      <c r="E54" s="336"/>
      <c r="F54" s="327"/>
      <c r="G54" s="337"/>
    </row>
    <row r="55" spans="1:7">
      <c r="A55" s="331" t="s">
        <v>259</v>
      </c>
      <c r="B55" s="317" t="s">
        <v>2194</v>
      </c>
      <c r="C55" s="318">
        <v>0.096</v>
      </c>
      <c r="D55" s="318">
        <v>0.084</v>
      </c>
      <c r="E55" s="318">
        <v>0.092</v>
      </c>
      <c r="F55" s="318">
        <v>0.1</v>
      </c>
      <c r="G55" s="319">
        <v>0.095</v>
      </c>
    </row>
    <row r="56" spans="1:7">
      <c r="A56" s="332" t="s">
        <v>259</v>
      </c>
      <c r="B56" s="321" t="s">
        <v>2207</v>
      </c>
      <c r="C56" s="322">
        <v>0.084</v>
      </c>
      <c r="D56" s="322">
        <v>0.092</v>
      </c>
      <c r="E56" s="322">
        <v>0.095</v>
      </c>
      <c r="F56" s="322">
        <v>0.092</v>
      </c>
      <c r="G56" s="323">
        <v>0.096</v>
      </c>
    </row>
    <row r="57" spans="1:7">
      <c r="A57" s="332" t="s">
        <v>259</v>
      </c>
      <c r="B57" s="321" t="s">
        <v>2221</v>
      </c>
      <c r="C57" s="322">
        <v>0.099</v>
      </c>
      <c r="D57" s="322">
        <v>0.096</v>
      </c>
      <c r="E57" s="322">
        <v>0.092</v>
      </c>
      <c r="F57" s="322">
        <v>0.1</v>
      </c>
      <c r="G57" s="323">
        <v>0.098</v>
      </c>
    </row>
    <row r="58" spans="1:7">
      <c r="A58" s="332" t="s">
        <v>259</v>
      </c>
      <c r="B58" s="321" t="s">
        <v>2233</v>
      </c>
      <c r="C58" s="322">
        <v>0.098</v>
      </c>
      <c r="D58" s="322">
        <v>0.095</v>
      </c>
      <c r="E58" s="322">
        <v>0.057</v>
      </c>
      <c r="F58" s="322">
        <v>0.1</v>
      </c>
      <c r="G58" s="323">
        <v>0.096</v>
      </c>
    </row>
    <row r="59" spans="1:7">
      <c r="A59" s="332" t="s">
        <v>259</v>
      </c>
      <c r="B59" s="321" t="s">
        <v>2245</v>
      </c>
      <c r="C59" s="322">
        <v>0.095</v>
      </c>
      <c r="D59" s="322">
        <v>0.1</v>
      </c>
      <c r="E59" s="322">
        <v>0.075</v>
      </c>
      <c r="F59" s="322">
        <v>0.1</v>
      </c>
      <c r="G59" s="323">
        <v>0.1</v>
      </c>
    </row>
    <row r="60" spans="1:7">
      <c r="A60" s="332" t="s">
        <v>259</v>
      </c>
      <c r="B60" s="321" t="s">
        <v>2256</v>
      </c>
      <c r="C60" s="322">
        <v>0.1</v>
      </c>
      <c r="D60" s="322">
        <v>0.097</v>
      </c>
      <c r="E60" s="322">
        <v>0.1</v>
      </c>
      <c r="F60" s="322">
        <v>0.1</v>
      </c>
      <c r="G60" s="323">
        <v>0.097</v>
      </c>
    </row>
    <row r="61" spans="1:7">
      <c r="A61" s="332" t="s">
        <v>259</v>
      </c>
      <c r="B61" s="321" t="s">
        <v>2267</v>
      </c>
      <c r="C61" s="322">
        <v>0.097</v>
      </c>
      <c r="D61" s="322">
        <v>0.1</v>
      </c>
      <c r="E61" s="322">
        <v>0.093</v>
      </c>
      <c r="F61" s="322">
        <v>0.1</v>
      </c>
      <c r="G61" s="323">
        <v>0.1</v>
      </c>
    </row>
    <row r="62" spans="1:7">
      <c r="A62" s="332" t="s">
        <v>259</v>
      </c>
      <c r="B62" s="321" t="s">
        <v>2278</v>
      </c>
      <c r="C62" s="322">
        <v>0.1</v>
      </c>
      <c r="D62" s="322">
        <v>0.097</v>
      </c>
      <c r="E62" s="322">
        <v>0.089</v>
      </c>
      <c r="F62" s="322">
        <v>0.1</v>
      </c>
      <c r="G62" s="323">
        <v>0.098</v>
      </c>
    </row>
    <row r="63" spans="1:7">
      <c r="A63" s="332" t="s">
        <v>259</v>
      </c>
      <c r="B63" s="321" t="s">
        <v>2288</v>
      </c>
      <c r="C63" s="322">
        <v>0.097</v>
      </c>
      <c r="D63" s="322">
        <v>0.097</v>
      </c>
      <c r="E63" s="322">
        <v>0.099</v>
      </c>
      <c r="F63" s="322">
        <v>0.1</v>
      </c>
      <c r="G63" s="323">
        <v>0.097</v>
      </c>
    </row>
    <row r="64" spans="1:7">
      <c r="A64" s="332" t="s">
        <v>259</v>
      </c>
      <c r="B64" s="321" t="s">
        <v>2298</v>
      </c>
      <c r="C64" s="322">
        <v>0.097</v>
      </c>
      <c r="D64" s="322">
        <v>0.074</v>
      </c>
      <c r="E64" s="322">
        <v>0.078</v>
      </c>
      <c r="F64" s="322">
        <v>0.1</v>
      </c>
      <c r="G64" s="323">
        <v>0.089</v>
      </c>
    </row>
    <row r="65" spans="1:7">
      <c r="A65" s="332" t="s">
        <v>259</v>
      </c>
      <c r="B65" s="321" t="s">
        <v>2308</v>
      </c>
      <c r="C65" s="322">
        <v>0.073</v>
      </c>
      <c r="D65" s="322">
        <v>0.098</v>
      </c>
      <c r="E65" s="322">
        <v>0.095</v>
      </c>
      <c r="F65" s="322">
        <v>0.1</v>
      </c>
      <c r="G65" s="323">
        <v>0.099</v>
      </c>
    </row>
    <row r="66" spans="1:7">
      <c r="A66" s="332" t="s">
        <v>259</v>
      </c>
      <c r="B66" s="321" t="s">
        <v>2318</v>
      </c>
      <c r="C66" s="322">
        <v>0.098</v>
      </c>
      <c r="D66" s="322">
        <v>0.095</v>
      </c>
      <c r="E66" s="322">
        <v>0.05</v>
      </c>
      <c r="F66" s="322">
        <v>0.1</v>
      </c>
      <c r="G66" s="323">
        <v>0.097</v>
      </c>
    </row>
    <row r="67" spans="1:7">
      <c r="A67" s="332" t="s">
        <v>259</v>
      </c>
      <c r="B67" s="321" t="s">
        <v>2328</v>
      </c>
      <c r="C67" s="322">
        <v>0.095</v>
      </c>
      <c r="D67" s="322">
        <v>0.097</v>
      </c>
      <c r="E67" s="322">
        <v>0.097</v>
      </c>
      <c r="F67" s="322">
        <v>0.1</v>
      </c>
      <c r="G67" s="323">
        <v>0.099</v>
      </c>
    </row>
    <row r="68" spans="1:7">
      <c r="A68" s="332" t="s">
        <v>259</v>
      </c>
      <c r="B68" s="321" t="s">
        <v>2338</v>
      </c>
      <c r="C68" s="322">
        <v>0.097</v>
      </c>
      <c r="D68" s="322">
        <v>0.068</v>
      </c>
      <c r="E68" s="322">
        <v>0.066</v>
      </c>
      <c r="F68" s="322">
        <v>0.1</v>
      </c>
      <c r="G68" s="323">
        <v>0.084</v>
      </c>
    </row>
    <row r="69" spans="1:7">
      <c r="A69" s="332" t="s">
        <v>259</v>
      </c>
      <c r="B69" s="321" t="s">
        <v>2348</v>
      </c>
      <c r="C69" s="322">
        <v>0.068</v>
      </c>
      <c r="D69" s="322">
        <v>0.098</v>
      </c>
      <c r="E69" s="322">
        <v>0.095</v>
      </c>
      <c r="F69" s="322">
        <v>0.1</v>
      </c>
      <c r="G69" s="323">
        <v>0.1</v>
      </c>
    </row>
    <row r="70" spans="1:7">
      <c r="A70" s="332" t="s">
        <v>259</v>
      </c>
      <c r="B70" s="321" t="s">
        <v>2358</v>
      </c>
      <c r="C70" s="322">
        <v>0.098</v>
      </c>
      <c r="D70" s="322">
        <v>0.089</v>
      </c>
      <c r="E70" s="322">
        <v>0.059</v>
      </c>
      <c r="F70" s="322">
        <v>0.1</v>
      </c>
      <c r="G70" s="323">
        <v>0.096</v>
      </c>
    </row>
    <row r="71" spans="1:7">
      <c r="A71" s="332" t="s">
        <v>259</v>
      </c>
      <c r="B71" s="321" t="s">
        <v>2368</v>
      </c>
      <c r="C71" s="322">
        <v>0.089</v>
      </c>
      <c r="D71" s="322">
        <v>0.099</v>
      </c>
      <c r="E71" s="322">
        <v>0.096</v>
      </c>
      <c r="F71" s="322">
        <v>0.1</v>
      </c>
      <c r="G71" s="323">
        <v>0.1</v>
      </c>
    </row>
    <row r="72" spans="1:7">
      <c r="A72" s="332" t="s">
        <v>259</v>
      </c>
      <c r="B72" s="321" t="s">
        <v>2378</v>
      </c>
      <c r="C72" s="322">
        <v>0.099</v>
      </c>
      <c r="D72" s="322">
        <v>0.1</v>
      </c>
      <c r="E72" s="322">
        <v>0.07</v>
      </c>
      <c r="F72" s="333"/>
      <c r="G72" s="323">
        <v>0.1</v>
      </c>
    </row>
    <row r="73" spans="1:7">
      <c r="A73" s="332" t="s">
        <v>259</v>
      </c>
      <c r="B73" s="321" t="s">
        <v>2388</v>
      </c>
      <c r="C73" s="322">
        <v>0.1</v>
      </c>
      <c r="D73" s="322">
        <v>0.1</v>
      </c>
      <c r="E73" s="322">
        <v>0.096</v>
      </c>
      <c r="F73" s="333"/>
      <c r="G73" s="323">
        <v>0.1</v>
      </c>
    </row>
    <row r="74" spans="1:7">
      <c r="A74" s="332" t="s">
        <v>259</v>
      </c>
      <c r="B74" s="321" t="s">
        <v>2398</v>
      </c>
      <c r="C74" s="322">
        <v>0.1</v>
      </c>
      <c r="D74" s="322">
        <v>0.1</v>
      </c>
      <c r="E74" s="322">
        <v>0.098</v>
      </c>
      <c r="F74" s="333"/>
      <c r="G74" s="323">
        <v>0.1</v>
      </c>
    </row>
    <row r="75" spans="1:7">
      <c r="A75" s="332" t="s">
        <v>259</v>
      </c>
      <c r="B75" s="321" t="s">
        <v>2407</v>
      </c>
      <c r="C75" s="322">
        <v>0.1</v>
      </c>
      <c r="D75" s="322">
        <v>0.099</v>
      </c>
      <c r="E75" s="322">
        <v>0.098</v>
      </c>
      <c r="F75" s="333"/>
      <c r="G75" s="323">
        <v>0.1</v>
      </c>
    </row>
    <row r="76" spans="1:7">
      <c r="A76" s="332" t="s">
        <v>259</v>
      </c>
      <c r="B76" s="321" t="s">
        <v>2415</v>
      </c>
      <c r="C76" s="322">
        <v>0.099</v>
      </c>
      <c r="D76" s="322">
        <v>0.1</v>
      </c>
      <c r="E76" s="322">
        <v>0.097</v>
      </c>
      <c r="F76" s="333"/>
      <c r="G76" s="323">
        <v>0.1</v>
      </c>
    </row>
    <row r="77" spans="1:7">
      <c r="A77" s="332" t="s">
        <v>259</v>
      </c>
      <c r="B77" s="321" t="s">
        <v>2423</v>
      </c>
      <c r="C77" s="322">
        <v>0.1</v>
      </c>
      <c r="D77" s="322">
        <v>0.1</v>
      </c>
      <c r="E77" s="322">
        <v>0.096</v>
      </c>
      <c r="F77" s="333"/>
      <c r="G77" s="323">
        <v>0.1</v>
      </c>
    </row>
    <row r="78" spans="1:7">
      <c r="A78" s="332" t="s">
        <v>259</v>
      </c>
      <c r="B78" s="321" t="s">
        <v>2431</v>
      </c>
      <c r="C78" s="322">
        <v>0.1</v>
      </c>
      <c r="D78" s="322">
        <v>0.085</v>
      </c>
      <c r="E78" s="322">
        <v>0.096</v>
      </c>
      <c r="F78" s="333"/>
      <c r="G78" s="323">
        <v>0.096</v>
      </c>
    </row>
    <row r="79" spans="1:7">
      <c r="A79" s="332" t="s">
        <v>259</v>
      </c>
      <c r="B79" s="321" t="s">
        <v>2439</v>
      </c>
      <c r="C79" s="322">
        <v>0.05</v>
      </c>
      <c r="D79" s="322">
        <v>0.096</v>
      </c>
      <c r="E79" s="322">
        <v>0.095</v>
      </c>
      <c r="F79" s="333"/>
      <c r="G79" s="323">
        <v>0.098</v>
      </c>
    </row>
    <row r="80" spans="1:7">
      <c r="A80" s="332" t="s">
        <v>259</v>
      </c>
      <c r="B80" s="321" t="s">
        <v>2446</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2460</v>
      </c>
      <c r="C82" s="338"/>
      <c r="D82" s="333"/>
      <c r="E82" s="322">
        <v>0.077</v>
      </c>
      <c r="F82" s="333"/>
      <c r="G82" s="334"/>
    </row>
    <row r="83" spans="1:7">
      <c r="A83" s="332" t="s">
        <v>259</v>
      </c>
      <c r="B83" s="321" t="s">
        <v>2467</v>
      </c>
      <c r="C83" s="333"/>
      <c r="D83" s="333"/>
      <c r="E83" s="333"/>
      <c r="F83" s="322">
        <v>0.1</v>
      </c>
      <c r="G83" s="339"/>
    </row>
    <row r="84" spans="1:7">
      <c r="A84" s="332" t="s">
        <v>259</v>
      </c>
      <c r="B84" s="321" t="s">
        <v>2474</v>
      </c>
      <c r="C84" s="333"/>
      <c r="D84" s="333"/>
      <c r="E84" s="333"/>
      <c r="F84" s="322">
        <v>0.1</v>
      </c>
      <c r="G84" s="339"/>
    </row>
    <row r="85" spans="1:7">
      <c r="A85" s="332" t="s">
        <v>259</v>
      </c>
      <c r="B85" s="321" t="s">
        <v>2481</v>
      </c>
      <c r="C85" s="333"/>
      <c r="D85" s="333"/>
      <c r="E85" s="333"/>
      <c r="F85" s="322">
        <v>0.1</v>
      </c>
      <c r="G85" s="339"/>
    </row>
    <row r="86" ht="14.75" spans="1:7">
      <c r="A86" s="335" t="s">
        <v>259</v>
      </c>
      <c r="B86" s="325" t="s">
        <v>2488</v>
      </c>
      <c r="C86" s="326">
        <v>0.098</v>
      </c>
      <c r="D86" s="326">
        <v>0.098</v>
      </c>
      <c r="E86" s="326">
        <v>0.096</v>
      </c>
      <c r="F86" s="336"/>
      <c r="G86" s="328">
        <v>0.1</v>
      </c>
    </row>
    <row r="87" spans="1:7">
      <c r="A87" s="331" t="s">
        <v>267</v>
      </c>
      <c r="B87" s="317" t="s">
        <v>2195</v>
      </c>
      <c r="C87" s="318">
        <v>0.1</v>
      </c>
      <c r="D87" s="318">
        <v>0.1</v>
      </c>
      <c r="E87" s="318">
        <v>0.098</v>
      </c>
      <c r="F87" s="318">
        <v>0.1</v>
      </c>
      <c r="G87" s="319">
        <v>0.1</v>
      </c>
    </row>
    <row r="88" spans="1:7">
      <c r="A88" s="332" t="s">
        <v>267</v>
      </c>
      <c r="B88" s="321" t="s">
        <v>2208</v>
      </c>
      <c r="C88" s="322">
        <v>0.091</v>
      </c>
      <c r="D88" s="322">
        <v>0.092</v>
      </c>
      <c r="E88" s="322">
        <v>0.1</v>
      </c>
      <c r="F88" s="322">
        <v>0.1</v>
      </c>
      <c r="G88" s="323">
        <v>0.096</v>
      </c>
    </row>
    <row r="89" spans="1:7">
      <c r="A89" s="332" t="s">
        <v>267</v>
      </c>
      <c r="B89" s="321" t="s">
        <v>2222</v>
      </c>
      <c r="C89" s="322">
        <v>0.1</v>
      </c>
      <c r="D89" s="322">
        <v>0.1</v>
      </c>
      <c r="E89" s="322">
        <v>0.067</v>
      </c>
      <c r="F89" s="322">
        <v>0.093</v>
      </c>
      <c r="G89" s="323">
        <v>0.1</v>
      </c>
    </row>
    <row r="90" spans="1:7">
      <c r="A90" s="332" t="s">
        <v>267</v>
      </c>
      <c r="B90" s="321" t="s">
        <v>2234</v>
      </c>
      <c r="C90" s="322">
        <v>0.096</v>
      </c>
      <c r="D90" s="322">
        <v>0.096</v>
      </c>
      <c r="E90" s="322">
        <v>0.1</v>
      </c>
      <c r="F90" s="322">
        <v>0.1</v>
      </c>
      <c r="G90" s="323">
        <v>0.098</v>
      </c>
    </row>
    <row r="91" spans="1:7">
      <c r="A91" s="332" t="s">
        <v>267</v>
      </c>
      <c r="B91" s="321" t="s">
        <v>2246</v>
      </c>
      <c r="C91" s="322">
        <v>0.077</v>
      </c>
      <c r="D91" s="322">
        <v>0.077</v>
      </c>
      <c r="E91" s="322">
        <v>0.096</v>
      </c>
      <c r="F91" s="322">
        <v>0.1</v>
      </c>
      <c r="G91" s="323">
        <v>0.077</v>
      </c>
    </row>
    <row r="92" spans="1:7">
      <c r="A92" s="332" t="s">
        <v>267</v>
      </c>
      <c r="B92" s="321" t="s">
        <v>2257</v>
      </c>
      <c r="C92" s="322">
        <v>0.1</v>
      </c>
      <c r="D92" s="322">
        <v>0.1</v>
      </c>
      <c r="E92" s="322">
        <v>0.092</v>
      </c>
      <c r="F92" s="322">
        <v>0.1</v>
      </c>
      <c r="G92" s="323">
        <v>0.1</v>
      </c>
    </row>
    <row r="93" spans="1:7">
      <c r="A93" s="332" t="s">
        <v>267</v>
      </c>
      <c r="B93" s="321" t="s">
        <v>2268</v>
      </c>
      <c r="C93" s="322">
        <v>0.098</v>
      </c>
      <c r="D93" s="322">
        <v>0.098</v>
      </c>
      <c r="E93" s="322">
        <v>0.096</v>
      </c>
      <c r="F93" s="322">
        <v>0.1</v>
      </c>
      <c r="G93" s="323">
        <v>0.099</v>
      </c>
    </row>
    <row r="94" spans="1:7">
      <c r="A94" s="332" t="s">
        <v>267</v>
      </c>
      <c r="B94" s="321" t="s">
        <v>2279</v>
      </c>
      <c r="C94" s="322">
        <v>0.088</v>
      </c>
      <c r="D94" s="322">
        <v>0.088</v>
      </c>
      <c r="E94" s="322">
        <v>0.096</v>
      </c>
      <c r="F94" s="322">
        <v>0.1</v>
      </c>
      <c r="G94" s="323">
        <v>0.088</v>
      </c>
    </row>
    <row r="95" spans="1:7">
      <c r="A95" s="332" t="s">
        <v>267</v>
      </c>
      <c r="B95" s="321" t="s">
        <v>2289</v>
      </c>
      <c r="C95" s="322">
        <v>0.096</v>
      </c>
      <c r="D95" s="322">
        <v>0.096</v>
      </c>
      <c r="E95" s="322">
        <v>0.1</v>
      </c>
      <c r="F95" s="322">
        <v>0.1</v>
      </c>
      <c r="G95" s="323">
        <v>0.098</v>
      </c>
    </row>
    <row r="96" spans="1:7">
      <c r="A96" s="332" t="s">
        <v>267</v>
      </c>
      <c r="B96" s="321" t="s">
        <v>2299</v>
      </c>
      <c r="C96" s="322">
        <v>0.097</v>
      </c>
      <c r="D96" s="322">
        <v>0.097</v>
      </c>
      <c r="E96" s="322">
        <v>0.1</v>
      </c>
      <c r="F96" s="322">
        <v>0.1</v>
      </c>
      <c r="G96" s="323">
        <v>0.098</v>
      </c>
    </row>
    <row r="97" spans="1:7">
      <c r="A97" s="332" t="s">
        <v>267</v>
      </c>
      <c r="B97" s="321" t="s">
        <v>2309</v>
      </c>
      <c r="C97" s="322">
        <v>0.096</v>
      </c>
      <c r="D97" s="322">
        <v>0.096</v>
      </c>
      <c r="E97" s="322">
        <v>0.099</v>
      </c>
      <c r="F97" s="322">
        <v>0.1</v>
      </c>
      <c r="G97" s="323">
        <v>0.098</v>
      </c>
    </row>
    <row r="98" spans="1:7">
      <c r="A98" s="332" t="s">
        <v>267</v>
      </c>
      <c r="B98" s="321" t="s">
        <v>2319</v>
      </c>
      <c r="C98" s="322">
        <v>0.098</v>
      </c>
      <c r="D98" s="322">
        <v>0.098</v>
      </c>
      <c r="E98" s="322">
        <v>0.1</v>
      </c>
      <c r="F98" s="322">
        <v>0.1</v>
      </c>
      <c r="G98" s="323">
        <v>0.099</v>
      </c>
    </row>
    <row r="99" spans="1:7">
      <c r="A99" s="332" t="s">
        <v>267</v>
      </c>
      <c r="B99" s="321" t="s">
        <v>2329</v>
      </c>
      <c r="C99" s="322">
        <v>0.096</v>
      </c>
      <c r="D99" s="322">
        <v>0.096</v>
      </c>
      <c r="E99" s="322">
        <v>0.1</v>
      </c>
      <c r="F99" s="322">
        <v>0.1</v>
      </c>
      <c r="G99" s="323">
        <v>0.097</v>
      </c>
    </row>
    <row r="100" spans="1:7">
      <c r="A100" s="332" t="s">
        <v>267</v>
      </c>
      <c r="B100" s="321" t="s">
        <v>2339</v>
      </c>
      <c r="C100" s="322">
        <v>0.1</v>
      </c>
      <c r="D100" s="322">
        <v>0.1</v>
      </c>
      <c r="E100" s="322">
        <v>0.097</v>
      </c>
      <c r="F100" s="322">
        <v>0.098</v>
      </c>
      <c r="G100" s="323">
        <v>0.1</v>
      </c>
    </row>
    <row r="101" spans="1:7">
      <c r="A101" s="332" t="s">
        <v>267</v>
      </c>
      <c r="B101" s="321" t="s">
        <v>2349</v>
      </c>
      <c r="C101" s="322">
        <v>0.1</v>
      </c>
      <c r="D101" s="322">
        <v>0.1</v>
      </c>
      <c r="E101" s="322">
        <v>0.095</v>
      </c>
      <c r="F101" s="322">
        <v>0.1</v>
      </c>
      <c r="G101" s="323">
        <v>0.1</v>
      </c>
    </row>
    <row r="102" spans="1:7">
      <c r="A102" s="332" t="s">
        <v>267</v>
      </c>
      <c r="B102" s="321" t="s">
        <v>2359</v>
      </c>
      <c r="C102" s="322">
        <v>0.1</v>
      </c>
      <c r="D102" s="322">
        <v>0.1</v>
      </c>
      <c r="E102" s="322">
        <v>0.099</v>
      </c>
      <c r="F102" s="322">
        <v>0.097</v>
      </c>
      <c r="G102" s="323">
        <v>0.1</v>
      </c>
    </row>
    <row r="103" spans="1:7">
      <c r="A103" s="332" t="s">
        <v>267</v>
      </c>
      <c r="B103" s="321" t="s">
        <v>2369</v>
      </c>
      <c r="C103" s="322">
        <v>0.1</v>
      </c>
      <c r="D103" s="322">
        <v>0.1</v>
      </c>
      <c r="E103" s="322">
        <v>0.098</v>
      </c>
      <c r="F103" s="322">
        <v>0.1</v>
      </c>
      <c r="G103" s="323">
        <v>0.1</v>
      </c>
    </row>
    <row r="104" spans="1:7">
      <c r="A104" s="332" t="s">
        <v>267</v>
      </c>
      <c r="B104" s="321" t="s">
        <v>2379</v>
      </c>
      <c r="C104" s="322">
        <v>0.1</v>
      </c>
      <c r="D104" s="322">
        <v>0.1</v>
      </c>
      <c r="E104" s="322">
        <v>0.098</v>
      </c>
      <c r="F104" s="322">
        <v>0.1</v>
      </c>
      <c r="G104" s="323">
        <v>0.1</v>
      </c>
    </row>
    <row r="105" spans="1:7">
      <c r="A105" s="332" t="s">
        <v>267</v>
      </c>
      <c r="B105" s="321" t="s">
        <v>2389</v>
      </c>
      <c r="C105" s="322">
        <v>0.098</v>
      </c>
      <c r="D105" s="322">
        <v>0.098</v>
      </c>
      <c r="E105" s="322">
        <v>0.098</v>
      </c>
      <c r="F105" s="322">
        <v>0.1</v>
      </c>
      <c r="G105" s="323">
        <v>0.099</v>
      </c>
    </row>
    <row r="106" spans="1:7">
      <c r="A106" s="332" t="s">
        <v>267</v>
      </c>
      <c r="B106" s="321" t="s">
        <v>2399</v>
      </c>
      <c r="C106" s="322">
        <v>0.097</v>
      </c>
      <c r="D106" s="322">
        <v>0.097</v>
      </c>
      <c r="E106" s="322">
        <v>0.097</v>
      </c>
      <c r="F106" s="322">
        <v>0.1</v>
      </c>
      <c r="G106" s="323">
        <v>0.099</v>
      </c>
    </row>
    <row r="107" spans="1:7">
      <c r="A107" s="332" t="s">
        <v>267</v>
      </c>
      <c r="B107" s="321" t="s">
        <v>2408</v>
      </c>
      <c r="C107" s="322">
        <v>0.1</v>
      </c>
      <c r="D107" s="322">
        <v>0.1</v>
      </c>
      <c r="E107" s="322">
        <v>0.086</v>
      </c>
      <c r="F107" s="322">
        <v>0.09</v>
      </c>
      <c r="G107" s="323">
        <v>0.1</v>
      </c>
    </row>
    <row r="108" spans="1:7">
      <c r="A108" s="332" t="s">
        <v>267</v>
      </c>
      <c r="B108" s="321" t="s">
        <v>2416</v>
      </c>
      <c r="C108" s="322">
        <v>0.1</v>
      </c>
      <c r="D108" s="322">
        <v>0.1</v>
      </c>
      <c r="E108" s="322">
        <v>0.096</v>
      </c>
      <c r="F108" s="333"/>
      <c r="G108" s="323">
        <v>0.1</v>
      </c>
    </row>
    <row r="109" spans="1:7">
      <c r="A109" s="332" t="s">
        <v>267</v>
      </c>
      <c r="B109" s="321" t="s">
        <v>2424</v>
      </c>
      <c r="C109" s="322">
        <v>0.1</v>
      </c>
      <c r="D109" s="322">
        <v>0.1</v>
      </c>
      <c r="E109" s="322">
        <v>0.1</v>
      </c>
      <c r="F109" s="333"/>
      <c r="G109" s="323">
        <v>0.1</v>
      </c>
    </row>
    <row r="110" spans="1:7">
      <c r="A110" s="332" t="s">
        <v>267</v>
      </c>
      <c r="B110" s="321" t="s">
        <v>2432</v>
      </c>
      <c r="C110" s="322">
        <v>0.1</v>
      </c>
      <c r="D110" s="322">
        <v>0.1</v>
      </c>
      <c r="E110" s="322">
        <v>0.1</v>
      </c>
      <c r="F110" s="333"/>
      <c r="G110" s="323">
        <v>0.1</v>
      </c>
    </row>
    <row r="111" spans="1:7">
      <c r="A111" s="332" t="s">
        <v>267</v>
      </c>
      <c r="B111" s="321" t="s">
        <v>2440</v>
      </c>
      <c r="C111" s="322">
        <v>0.1</v>
      </c>
      <c r="D111" s="322">
        <v>0.1</v>
      </c>
      <c r="E111" s="322">
        <v>0.095</v>
      </c>
      <c r="F111" s="333"/>
      <c r="G111" s="323">
        <v>0.1</v>
      </c>
    </row>
    <row r="112" spans="1:7">
      <c r="A112" s="332" t="s">
        <v>267</v>
      </c>
      <c r="B112" s="321" t="s">
        <v>2447</v>
      </c>
      <c r="C112" s="322">
        <v>0.097</v>
      </c>
      <c r="D112" s="322">
        <v>0.097</v>
      </c>
      <c r="E112" s="322">
        <v>0.05</v>
      </c>
      <c r="F112" s="333"/>
      <c r="G112" s="323">
        <v>0.098</v>
      </c>
    </row>
    <row r="113" spans="1:7">
      <c r="A113" s="332" t="s">
        <v>267</v>
      </c>
      <c r="B113" s="321" t="s">
        <v>2454</v>
      </c>
      <c r="C113" s="322">
        <v>0.1</v>
      </c>
      <c r="D113" s="322">
        <v>0.1</v>
      </c>
      <c r="E113" s="333"/>
      <c r="F113" s="333"/>
      <c r="G113" s="323">
        <v>0.1</v>
      </c>
    </row>
    <row r="114" spans="1:7">
      <c r="A114" s="332" t="s">
        <v>267</v>
      </c>
      <c r="B114" s="321" t="s">
        <v>2461</v>
      </c>
      <c r="C114" s="322">
        <v>0.097</v>
      </c>
      <c r="D114" s="322">
        <v>0.097</v>
      </c>
      <c r="E114" s="333"/>
      <c r="F114" s="333"/>
      <c r="G114" s="323">
        <v>0.099</v>
      </c>
    </row>
    <row r="115" spans="1:7">
      <c r="A115" s="332" t="s">
        <v>267</v>
      </c>
      <c r="B115" s="321" t="s">
        <v>2468</v>
      </c>
      <c r="C115" s="322">
        <v>0.1</v>
      </c>
      <c r="D115" s="322">
        <v>0.1</v>
      </c>
      <c r="E115" s="333"/>
      <c r="F115" s="333"/>
      <c r="G115" s="323">
        <v>0.1</v>
      </c>
    </row>
    <row r="116" spans="1:7">
      <c r="A116" s="332" t="s">
        <v>267</v>
      </c>
      <c r="B116" s="321" t="s">
        <v>2475</v>
      </c>
      <c r="C116" s="322">
        <v>0.1</v>
      </c>
      <c r="D116" s="322">
        <v>0.1</v>
      </c>
      <c r="E116" s="333"/>
      <c r="F116" s="333"/>
      <c r="G116" s="323">
        <v>0.1</v>
      </c>
    </row>
    <row r="117" spans="1:7">
      <c r="A117" s="332" t="s">
        <v>267</v>
      </c>
      <c r="B117" s="321" t="s">
        <v>2482</v>
      </c>
      <c r="C117" s="322">
        <v>0.097</v>
      </c>
      <c r="D117" s="322">
        <v>0.097</v>
      </c>
      <c r="E117" s="333"/>
      <c r="F117" s="333"/>
      <c r="G117" s="323">
        <v>0.097</v>
      </c>
    </row>
    <row r="118" spans="1:7">
      <c r="A118" s="332" t="s">
        <v>267</v>
      </c>
      <c r="B118" s="321" t="s">
        <v>2489</v>
      </c>
      <c r="C118" s="322">
        <v>0.1</v>
      </c>
      <c r="D118" s="322">
        <v>0.1</v>
      </c>
      <c r="E118" s="333"/>
      <c r="F118" s="333"/>
      <c r="G118" s="323">
        <v>0.1</v>
      </c>
    </row>
    <row r="119" spans="1:7">
      <c r="A119" s="332" t="s">
        <v>267</v>
      </c>
      <c r="B119" s="321" t="s">
        <v>2494</v>
      </c>
      <c r="C119" s="322">
        <v>0.051</v>
      </c>
      <c r="D119" s="322">
        <v>0.052</v>
      </c>
      <c r="E119" s="333"/>
      <c r="F119" s="338"/>
      <c r="G119" s="323">
        <v>0.06</v>
      </c>
    </row>
    <row r="120" spans="1:7">
      <c r="A120" s="332" t="s">
        <v>267</v>
      </c>
      <c r="B120" s="321" t="s">
        <v>2499</v>
      </c>
      <c r="C120" s="333"/>
      <c r="D120" s="333"/>
      <c r="E120" s="333"/>
      <c r="F120" s="322">
        <v>0.1</v>
      </c>
      <c r="G120" s="339"/>
    </row>
    <row r="121" spans="1:7">
      <c r="A121" s="332" t="s">
        <v>267</v>
      </c>
      <c r="B121" s="321" t="s">
        <v>2504</v>
      </c>
      <c r="C121" s="333"/>
      <c r="D121" s="333"/>
      <c r="E121" s="333"/>
      <c r="F121" s="322">
        <v>0.1</v>
      </c>
      <c r="G121" s="339"/>
    </row>
    <row r="122" spans="1:7">
      <c r="A122" s="332" t="s">
        <v>267</v>
      </c>
      <c r="B122" s="321" t="s">
        <v>2509</v>
      </c>
      <c r="C122" s="322">
        <v>0.1</v>
      </c>
      <c r="D122" s="322">
        <v>0.1</v>
      </c>
      <c r="E122" s="322">
        <v>0.098</v>
      </c>
      <c r="F122" s="322">
        <v>0.1</v>
      </c>
      <c r="G122" s="323">
        <v>0.1</v>
      </c>
    </row>
    <row r="123" spans="1:7">
      <c r="A123" s="332" t="s">
        <v>267</v>
      </c>
      <c r="B123" s="321" t="s">
        <v>2514</v>
      </c>
      <c r="C123" s="322">
        <v>0.1</v>
      </c>
      <c r="D123" s="322">
        <v>0.1</v>
      </c>
      <c r="E123" s="322">
        <v>0.098</v>
      </c>
      <c r="F123" s="322">
        <v>0.1</v>
      </c>
      <c r="G123" s="323">
        <v>0.1</v>
      </c>
    </row>
    <row r="124" spans="1:7">
      <c r="A124" s="332" t="s">
        <v>267</v>
      </c>
      <c r="B124" s="321" t="s">
        <v>2519</v>
      </c>
      <c r="C124" s="322">
        <v>0.1</v>
      </c>
      <c r="D124" s="322">
        <v>0.1</v>
      </c>
      <c r="E124" s="322">
        <v>0.098</v>
      </c>
      <c r="F124" s="338"/>
      <c r="G124" s="323">
        <v>0.1</v>
      </c>
    </row>
    <row r="125" spans="1:7">
      <c r="A125" s="332" t="s">
        <v>267</v>
      </c>
      <c r="B125" s="321" t="s">
        <v>2524</v>
      </c>
      <c r="C125" s="322">
        <v>0.098</v>
      </c>
      <c r="D125" s="322">
        <v>0.098</v>
      </c>
      <c r="E125" s="322">
        <v>0.096</v>
      </c>
      <c r="F125" s="338"/>
      <c r="G125" s="323">
        <v>0.1</v>
      </c>
    </row>
    <row r="126" ht="14.75" spans="1:7">
      <c r="A126" s="335" t="s">
        <v>267</v>
      </c>
      <c r="B126" s="325" t="s">
        <v>2529</v>
      </c>
      <c r="C126" s="326">
        <v>0.1</v>
      </c>
      <c r="D126" s="326">
        <v>0.1</v>
      </c>
      <c r="E126" s="326">
        <v>0.098</v>
      </c>
      <c r="F126" s="326">
        <v>0.1</v>
      </c>
      <c r="G126" s="328">
        <v>0.1</v>
      </c>
    </row>
    <row r="127" spans="1:7">
      <c r="A127" s="331" t="s">
        <v>273</v>
      </c>
      <c r="B127" s="317" t="s">
        <v>2196</v>
      </c>
      <c r="C127" s="318">
        <v>0.121</v>
      </c>
      <c r="D127" s="318">
        <v>0.121</v>
      </c>
      <c r="E127" s="318">
        <v>0.107</v>
      </c>
      <c r="F127" s="318">
        <v>0.13</v>
      </c>
      <c r="G127" s="319">
        <v>0.122</v>
      </c>
    </row>
    <row r="128" spans="1:7">
      <c r="A128" s="332" t="s">
        <v>273</v>
      </c>
      <c r="B128" s="321" t="s">
        <v>2209</v>
      </c>
      <c r="C128" s="322">
        <v>0.116</v>
      </c>
      <c r="D128" s="322">
        <v>0.117</v>
      </c>
      <c r="E128" s="322">
        <v>0.104</v>
      </c>
      <c r="F128" s="322">
        <v>0.13</v>
      </c>
      <c r="G128" s="323">
        <v>0.117</v>
      </c>
    </row>
    <row r="129" spans="1:7">
      <c r="A129" s="332" t="s">
        <v>273</v>
      </c>
      <c r="B129" s="321" t="s">
        <v>2223</v>
      </c>
      <c r="C129" s="322">
        <v>0.107</v>
      </c>
      <c r="D129" s="322">
        <v>0.108</v>
      </c>
      <c r="E129" s="322">
        <v>0.1</v>
      </c>
      <c r="F129" s="322">
        <v>0.13</v>
      </c>
      <c r="G129" s="323">
        <v>0.117</v>
      </c>
    </row>
    <row r="130" spans="1:7">
      <c r="A130" s="332" t="s">
        <v>273</v>
      </c>
      <c r="B130" s="321" t="s">
        <v>2235</v>
      </c>
      <c r="C130" s="322">
        <v>0.13</v>
      </c>
      <c r="D130" s="322">
        <v>0.13</v>
      </c>
      <c r="E130" s="322">
        <v>0.126</v>
      </c>
      <c r="F130" s="322">
        <v>0.13</v>
      </c>
      <c r="G130" s="323">
        <v>0.13</v>
      </c>
    </row>
    <row r="131" spans="1:7">
      <c r="A131" s="332" t="s">
        <v>273</v>
      </c>
      <c r="B131" s="321" t="s">
        <v>2247</v>
      </c>
      <c r="C131" s="322">
        <v>0.13</v>
      </c>
      <c r="D131" s="322">
        <v>0.13</v>
      </c>
      <c r="E131" s="322">
        <v>0.13</v>
      </c>
      <c r="F131" s="322">
        <v>0.13</v>
      </c>
      <c r="G131" s="323">
        <v>0.13</v>
      </c>
    </row>
    <row r="132" spans="1:7">
      <c r="A132" s="332" t="s">
        <v>273</v>
      </c>
      <c r="B132" s="321" t="s">
        <v>2258</v>
      </c>
      <c r="C132" s="322">
        <v>0.13</v>
      </c>
      <c r="D132" s="322">
        <v>0.13</v>
      </c>
      <c r="E132" s="322">
        <v>0.126</v>
      </c>
      <c r="F132" s="322">
        <v>0.13</v>
      </c>
      <c r="G132" s="323">
        <v>0.13</v>
      </c>
    </row>
    <row r="133" spans="1:7">
      <c r="A133" s="332" t="s">
        <v>273</v>
      </c>
      <c r="B133" s="321" t="s">
        <v>2269</v>
      </c>
      <c r="C133" s="322">
        <v>0.111</v>
      </c>
      <c r="D133" s="322">
        <v>0.111</v>
      </c>
      <c r="E133" s="322">
        <v>0.102</v>
      </c>
      <c r="F133" s="322">
        <v>0.13</v>
      </c>
      <c r="G133" s="323">
        <v>0.121</v>
      </c>
    </row>
    <row r="134" spans="1:7">
      <c r="A134" s="332" t="s">
        <v>273</v>
      </c>
      <c r="B134" s="321" t="s">
        <v>2280</v>
      </c>
      <c r="C134" s="322">
        <v>0.121</v>
      </c>
      <c r="D134" s="322">
        <v>0.121</v>
      </c>
      <c r="E134" s="322">
        <v>0.1</v>
      </c>
      <c r="F134" s="322">
        <v>0.13</v>
      </c>
      <c r="G134" s="323">
        <v>0.123</v>
      </c>
    </row>
    <row r="135" spans="1:7">
      <c r="A135" s="332" t="s">
        <v>273</v>
      </c>
      <c r="B135" s="321" t="s">
        <v>2290</v>
      </c>
      <c r="C135" s="322">
        <v>0.105</v>
      </c>
      <c r="D135" s="322">
        <v>0.106</v>
      </c>
      <c r="E135" s="322">
        <v>0.1</v>
      </c>
      <c r="F135" s="322">
        <v>0.13</v>
      </c>
      <c r="G135" s="323">
        <v>0.115</v>
      </c>
    </row>
    <row r="136" spans="1:7">
      <c r="A136" s="332" t="s">
        <v>273</v>
      </c>
      <c r="B136" s="321" t="s">
        <v>2300</v>
      </c>
      <c r="C136" s="322">
        <v>0.127</v>
      </c>
      <c r="D136" s="322">
        <v>0.127</v>
      </c>
      <c r="E136" s="322">
        <v>0.121</v>
      </c>
      <c r="F136" s="322">
        <v>0.123</v>
      </c>
      <c r="G136" s="323">
        <v>0.129</v>
      </c>
    </row>
    <row r="137" spans="1:7">
      <c r="A137" s="332" t="s">
        <v>273</v>
      </c>
      <c r="B137" s="321" t="s">
        <v>2310</v>
      </c>
      <c r="C137" s="322">
        <v>0.13</v>
      </c>
      <c r="D137" s="322">
        <v>0.13</v>
      </c>
      <c r="E137" s="322">
        <v>0.129</v>
      </c>
      <c r="F137" s="322">
        <v>0.13</v>
      </c>
      <c r="G137" s="323">
        <v>0.13</v>
      </c>
    </row>
    <row r="138" spans="1:7">
      <c r="A138" s="332" t="s">
        <v>273</v>
      </c>
      <c r="B138" s="321" t="s">
        <v>2320</v>
      </c>
      <c r="C138" s="322">
        <v>0.13</v>
      </c>
      <c r="D138" s="322">
        <v>0.13</v>
      </c>
      <c r="E138" s="322">
        <v>0.125</v>
      </c>
      <c r="F138" s="322">
        <v>0.13</v>
      </c>
      <c r="G138" s="323">
        <v>0.13</v>
      </c>
    </row>
    <row r="139" spans="1:7">
      <c r="A139" s="332" t="s">
        <v>273</v>
      </c>
      <c r="B139" s="321" t="s">
        <v>2330</v>
      </c>
      <c r="C139" s="322">
        <v>0.13</v>
      </c>
      <c r="D139" s="322">
        <v>0.13</v>
      </c>
      <c r="E139" s="322">
        <v>0.126</v>
      </c>
      <c r="F139" s="322">
        <v>0.13</v>
      </c>
      <c r="G139" s="323">
        <v>0.13</v>
      </c>
    </row>
    <row r="140" spans="1:7">
      <c r="A140" s="332" t="s">
        <v>273</v>
      </c>
      <c r="B140" s="321" t="s">
        <v>2340</v>
      </c>
      <c r="C140" s="322">
        <v>0.1</v>
      </c>
      <c r="D140" s="322">
        <v>0.1</v>
      </c>
      <c r="E140" s="322">
        <v>0.1</v>
      </c>
      <c r="F140" s="322">
        <v>0.123</v>
      </c>
      <c r="G140" s="323">
        <v>0.107</v>
      </c>
    </row>
    <row r="141" spans="1:7">
      <c r="A141" s="332" t="s">
        <v>273</v>
      </c>
      <c r="B141" s="321" t="s">
        <v>2350</v>
      </c>
      <c r="C141" s="322">
        <v>0.127</v>
      </c>
      <c r="D141" s="322">
        <v>0.127</v>
      </c>
      <c r="E141" s="322">
        <v>0.122</v>
      </c>
      <c r="F141" s="322">
        <v>0.1</v>
      </c>
      <c r="G141" s="323">
        <v>0.129</v>
      </c>
    </row>
    <row r="142" spans="1:7">
      <c r="A142" s="332" t="s">
        <v>273</v>
      </c>
      <c r="B142" s="321" t="s">
        <v>2360</v>
      </c>
      <c r="C142" s="322">
        <v>0.121</v>
      </c>
      <c r="D142" s="322">
        <v>0.122</v>
      </c>
      <c r="E142" s="322">
        <v>0.1</v>
      </c>
      <c r="F142" s="322">
        <v>0.123</v>
      </c>
      <c r="G142" s="323">
        <v>0.123</v>
      </c>
    </row>
    <row r="143" spans="1:7">
      <c r="A143" s="332" t="s">
        <v>273</v>
      </c>
      <c r="B143" s="321" t="s">
        <v>2370</v>
      </c>
      <c r="C143" s="322">
        <v>0.1</v>
      </c>
      <c r="D143" s="322">
        <v>0.1</v>
      </c>
      <c r="E143" s="322">
        <v>0.1</v>
      </c>
      <c r="F143" s="322">
        <v>0.13</v>
      </c>
      <c r="G143" s="323">
        <v>0.1</v>
      </c>
    </row>
    <row r="144" spans="1:7">
      <c r="A144" s="332" t="s">
        <v>273</v>
      </c>
      <c r="B144" s="321" t="s">
        <v>2380</v>
      </c>
      <c r="C144" s="322">
        <v>0.106</v>
      </c>
      <c r="D144" s="322">
        <v>0.105</v>
      </c>
      <c r="E144" s="322">
        <v>0.1</v>
      </c>
      <c r="F144" s="322">
        <v>0.13</v>
      </c>
      <c r="G144" s="323">
        <v>0.118</v>
      </c>
    </row>
    <row r="145" spans="1:7">
      <c r="A145" s="332" t="s">
        <v>273</v>
      </c>
      <c r="B145" s="321" t="s">
        <v>2390</v>
      </c>
      <c r="C145" s="322">
        <v>0.123</v>
      </c>
      <c r="D145" s="322">
        <v>0.123</v>
      </c>
      <c r="E145" s="322">
        <v>0.117</v>
      </c>
      <c r="F145" s="322">
        <v>0.13</v>
      </c>
      <c r="G145" s="323">
        <v>0.126</v>
      </c>
    </row>
    <row r="146" spans="1:7">
      <c r="A146" s="332" t="s">
        <v>273</v>
      </c>
      <c r="B146" s="321" t="s">
        <v>2400</v>
      </c>
      <c r="C146" s="322">
        <v>0.127</v>
      </c>
      <c r="D146" s="322">
        <v>0.127</v>
      </c>
      <c r="E146" s="322">
        <v>0.12</v>
      </c>
      <c r="F146" s="333"/>
      <c r="G146" s="323">
        <v>0.129</v>
      </c>
    </row>
    <row r="147" spans="1:7">
      <c r="A147" s="332" t="s">
        <v>273</v>
      </c>
      <c r="B147" s="321" t="s">
        <v>2409</v>
      </c>
      <c r="C147" s="322">
        <v>0.13</v>
      </c>
      <c r="D147" s="322">
        <v>0.13</v>
      </c>
      <c r="E147" s="322">
        <v>0.126</v>
      </c>
      <c r="F147" s="333"/>
      <c r="G147" s="323">
        <v>0.13</v>
      </c>
    </row>
    <row r="148" spans="1:7">
      <c r="A148" s="332" t="s">
        <v>273</v>
      </c>
      <c r="B148" s="321" t="s">
        <v>2417</v>
      </c>
      <c r="C148" s="322">
        <v>0.13</v>
      </c>
      <c r="D148" s="322">
        <v>0.13</v>
      </c>
      <c r="E148" s="322">
        <v>0.13</v>
      </c>
      <c r="F148" s="333"/>
      <c r="G148" s="323">
        <v>0.13</v>
      </c>
    </row>
    <row r="149" spans="1:7">
      <c r="A149" s="332" t="s">
        <v>273</v>
      </c>
      <c r="B149" s="321" t="s">
        <v>2425</v>
      </c>
      <c r="C149" s="322">
        <v>0.13</v>
      </c>
      <c r="D149" s="322">
        <v>0.13</v>
      </c>
      <c r="E149" s="322">
        <v>0.13</v>
      </c>
      <c r="F149" s="322">
        <v>0.13</v>
      </c>
      <c r="G149" s="323">
        <v>0.13</v>
      </c>
    </row>
    <row r="150" spans="1:7">
      <c r="A150" s="332" t="s">
        <v>273</v>
      </c>
      <c r="B150" s="321" t="s">
        <v>2433</v>
      </c>
      <c r="C150" s="322">
        <v>0.13</v>
      </c>
      <c r="D150" s="322">
        <v>0.13</v>
      </c>
      <c r="E150" s="322">
        <v>0.127</v>
      </c>
      <c r="F150" s="322">
        <v>0.13</v>
      </c>
      <c r="G150" s="323">
        <v>0.13</v>
      </c>
    </row>
    <row r="151" spans="1:7">
      <c r="A151" s="332" t="s">
        <v>273</v>
      </c>
      <c r="B151" s="321" t="s">
        <v>2441</v>
      </c>
      <c r="C151" s="322">
        <v>0.13</v>
      </c>
      <c r="D151" s="322">
        <v>0.13</v>
      </c>
      <c r="E151" s="322">
        <v>0.13</v>
      </c>
      <c r="F151" s="322">
        <v>0.13</v>
      </c>
      <c r="G151" s="323">
        <v>0.13</v>
      </c>
    </row>
    <row r="152" spans="1:7">
      <c r="A152" s="332" t="s">
        <v>273</v>
      </c>
      <c r="B152" s="321" t="s">
        <v>2448</v>
      </c>
      <c r="C152" s="322">
        <v>0.13</v>
      </c>
      <c r="D152" s="322">
        <v>0.13</v>
      </c>
      <c r="E152" s="322">
        <v>0.13</v>
      </c>
      <c r="F152" s="322">
        <v>0.13</v>
      </c>
      <c r="G152" s="323">
        <v>0.13</v>
      </c>
    </row>
    <row r="153" spans="1:7">
      <c r="A153" s="332" t="s">
        <v>273</v>
      </c>
      <c r="B153" s="321" t="s">
        <v>2455</v>
      </c>
      <c r="C153" s="322">
        <v>0.13</v>
      </c>
      <c r="D153" s="322">
        <v>0.13</v>
      </c>
      <c r="E153" s="322">
        <v>0.13</v>
      </c>
      <c r="F153" s="322">
        <v>0.13</v>
      </c>
      <c r="G153" s="323">
        <v>0.13</v>
      </c>
    </row>
    <row r="154" spans="1:7">
      <c r="A154" s="332" t="s">
        <v>273</v>
      </c>
      <c r="B154" s="321" t="s">
        <v>2462</v>
      </c>
      <c r="C154" s="322">
        <v>0.121</v>
      </c>
      <c r="D154" s="322">
        <v>0.121</v>
      </c>
      <c r="E154" s="322">
        <v>0.105</v>
      </c>
      <c r="F154" s="322">
        <v>0.121</v>
      </c>
      <c r="G154" s="323">
        <v>0.123</v>
      </c>
    </row>
    <row r="155" spans="1:7">
      <c r="A155" s="332" t="s">
        <v>273</v>
      </c>
      <c r="B155" s="321" t="s">
        <v>2469</v>
      </c>
      <c r="C155" s="322">
        <v>0.1</v>
      </c>
      <c r="D155" s="322">
        <v>0.1</v>
      </c>
      <c r="E155" s="322">
        <v>0.1</v>
      </c>
      <c r="F155" s="322">
        <v>0.1</v>
      </c>
      <c r="G155" s="323">
        <v>0.1</v>
      </c>
    </row>
    <row r="156" spans="1:7">
      <c r="A156" s="332" t="s">
        <v>273</v>
      </c>
      <c r="B156" s="321" t="s">
        <v>2476</v>
      </c>
      <c r="C156" s="322">
        <v>0.13</v>
      </c>
      <c r="D156" s="322">
        <v>0.13</v>
      </c>
      <c r="E156" s="322">
        <v>0.13</v>
      </c>
      <c r="F156" s="322">
        <v>0.13</v>
      </c>
      <c r="G156" s="323">
        <v>0.13</v>
      </c>
    </row>
    <row r="157" spans="1:7">
      <c r="A157" s="332" t="s">
        <v>273</v>
      </c>
      <c r="B157" s="321" t="s">
        <v>2483</v>
      </c>
      <c r="C157" s="322">
        <v>0.13</v>
      </c>
      <c r="D157" s="322">
        <v>0.13</v>
      </c>
      <c r="E157" s="322">
        <v>0.125</v>
      </c>
      <c r="F157" s="322">
        <v>0.13</v>
      </c>
      <c r="G157" s="323">
        <v>0.13</v>
      </c>
    </row>
    <row r="158" spans="1:7">
      <c r="A158" s="332" t="s">
        <v>273</v>
      </c>
      <c r="B158" s="321" t="s">
        <v>2490</v>
      </c>
      <c r="C158" s="322">
        <v>0.124</v>
      </c>
      <c r="D158" s="322">
        <v>0.124</v>
      </c>
      <c r="E158" s="322">
        <v>0.117</v>
      </c>
      <c r="F158" s="322">
        <v>0.121</v>
      </c>
      <c r="G158" s="323">
        <v>0.124</v>
      </c>
    </row>
    <row r="159" spans="1:7">
      <c r="A159" s="332" t="s">
        <v>273</v>
      </c>
      <c r="B159" s="321" t="s">
        <v>2495</v>
      </c>
      <c r="C159" s="322">
        <v>0.127</v>
      </c>
      <c r="D159" s="322">
        <v>0.127</v>
      </c>
      <c r="E159" s="322">
        <v>0.122</v>
      </c>
      <c r="F159" s="322">
        <v>0.13</v>
      </c>
      <c r="G159" s="323">
        <v>0.129</v>
      </c>
    </row>
    <row r="160" spans="1:7">
      <c r="A160" s="332" t="s">
        <v>273</v>
      </c>
      <c r="B160" s="321" t="s">
        <v>2500</v>
      </c>
      <c r="C160" s="322">
        <v>0.13</v>
      </c>
      <c r="D160" s="322">
        <v>0.13</v>
      </c>
      <c r="E160" s="322">
        <v>0.124</v>
      </c>
      <c r="F160" s="322">
        <v>0.126</v>
      </c>
      <c r="G160" s="323">
        <v>0.13</v>
      </c>
    </row>
    <row r="161" spans="1:7">
      <c r="A161" s="332" t="s">
        <v>273</v>
      </c>
      <c r="B161" s="321" t="s">
        <v>2505</v>
      </c>
      <c r="C161" s="322">
        <v>0.13</v>
      </c>
      <c r="D161" s="322">
        <v>0.13</v>
      </c>
      <c r="E161" s="322">
        <v>0.124</v>
      </c>
      <c r="F161" s="322">
        <v>0.127</v>
      </c>
      <c r="G161" s="323">
        <v>0.13</v>
      </c>
    </row>
    <row r="162" spans="1:7">
      <c r="A162" s="332" t="s">
        <v>273</v>
      </c>
      <c r="B162" s="321" t="s">
        <v>2510</v>
      </c>
      <c r="C162" s="322">
        <v>0.1</v>
      </c>
      <c r="D162" s="322">
        <v>0.1</v>
      </c>
      <c r="E162" s="322">
        <v>0.1</v>
      </c>
      <c r="F162" s="322">
        <v>0.121</v>
      </c>
      <c r="G162" s="323">
        <v>0.105</v>
      </c>
    </row>
    <row r="163" spans="1:7">
      <c r="A163" s="332" t="s">
        <v>273</v>
      </c>
      <c r="B163" s="321" t="s">
        <v>2515</v>
      </c>
      <c r="C163" s="322">
        <v>0.1</v>
      </c>
      <c r="D163" s="322">
        <v>0.1</v>
      </c>
      <c r="E163" s="322">
        <v>0.1</v>
      </c>
      <c r="F163" s="322">
        <v>0.1</v>
      </c>
      <c r="G163" s="323">
        <v>0.1</v>
      </c>
    </row>
    <row r="164" spans="1:7">
      <c r="A164" s="332" t="s">
        <v>273</v>
      </c>
      <c r="B164" s="321" t="s">
        <v>2520</v>
      </c>
      <c r="C164" s="338"/>
      <c r="D164" s="338"/>
      <c r="E164" s="338"/>
      <c r="F164" s="322">
        <v>0.1</v>
      </c>
      <c r="G164" s="334"/>
    </row>
    <row r="165" spans="1:7">
      <c r="A165" s="332" t="s">
        <v>273</v>
      </c>
      <c r="B165" s="321" t="s">
        <v>2525</v>
      </c>
      <c r="C165" s="322">
        <v>0.126</v>
      </c>
      <c r="D165" s="322">
        <v>0.126</v>
      </c>
      <c r="E165" s="322">
        <v>0.119</v>
      </c>
      <c r="F165" s="322">
        <v>0.13</v>
      </c>
      <c r="G165" s="323">
        <v>0.128</v>
      </c>
    </row>
    <row r="166" spans="1:7">
      <c r="A166" s="332" t="s">
        <v>273</v>
      </c>
      <c r="B166" s="321" t="s">
        <v>2530</v>
      </c>
      <c r="C166" s="322">
        <v>0.129</v>
      </c>
      <c r="D166" s="322">
        <v>0.129</v>
      </c>
      <c r="E166" s="322">
        <v>0.123</v>
      </c>
      <c r="F166" s="322">
        <v>0.128</v>
      </c>
      <c r="G166" s="323">
        <v>0.13</v>
      </c>
    </row>
    <row r="167" spans="1:7">
      <c r="A167" s="332" t="s">
        <v>273</v>
      </c>
      <c r="B167" s="321" t="s">
        <v>2534</v>
      </c>
      <c r="C167" s="322">
        <v>0.125</v>
      </c>
      <c r="D167" s="322">
        <v>0.125</v>
      </c>
      <c r="E167" s="322">
        <v>0.117</v>
      </c>
      <c r="F167" s="322">
        <v>0.13</v>
      </c>
      <c r="G167" s="323">
        <v>0.126</v>
      </c>
    </row>
    <row r="168" spans="1:7">
      <c r="A168" s="332" t="s">
        <v>273</v>
      </c>
      <c r="B168" s="321" t="s">
        <v>2538</v>
      </c>
      <c r="C168" s="322">
        <v>0.128</v>
      </c>
      <c r="D168" s="322">
        <v>0.128</v>
      </c>
      <c r="E168" s="322">
        <v>0.123</v>
      </c>
      <c r="F168" s="333"/>
      <c r="G168" s="323">
        <v>0.13</v>
      </c>
    </row>
    <row r="169" spans="1:7">
      <c r="A169" s="332" t="s">
        <v>273</v>
      </c>
      <c r="B169" s="321" t="s">
        <v>2542</v>
      </c>
      <c r="C169" s="338"/>
      <c r="D169" s="338"/>
      <c r="E169" s="338"/>
      <c r="F169" s="322">
        <v>0.05</v>
      </c>
      <c r="G169" s="334"/>
    </row>
    <row r="170" spans="1:7">
      <c r="A170" s="332" t="s">
        <v>273</v>
      </c>
      <c r="B170" s="321" t="s">
        <v>2546</v>
      </c>
      <c r="C170" s="338"/>
      <c r="D170" s="338"/>
      <c r="E170" s="338"/>
      <c r="F170" s="322">
        <v>0.05</v>
      </c>
      <c r="G170" s="334"/>
    </row>
    <row r="171" spans="1:7">
      <c r="A171" s="332" t="s">
        <v>273</v>
      </c>
      <c r="B171" s="321" t="s">
        <v>2549</v>
      </c>
      <c r="C171" s="338"/>
      <c r="D171" s="338"/>
      <c r="E171" s="338"/>
      <c r="F171" s="322">
        <v>0.05</v>
      </c>
      <c r="G171" s="339"/>
    </row>
    <row r="172" spans="1:7">
      <c r="A172" s="332" t="s">
        <v>273</v>
      </c>
      <c r="B172" s="321" t="s">
        <v>2551</v>
      </c>
      <c r="C172" s="338"/>
      <c r="D172" s="338"/>
      <c r="E172" s="338"/>
      <c r="F172" s="322">
        <v>0.05</v>
      </c>
      <c r="G172" s="339"/>
    </row>
    <row r="173" spans="1:7">
      <c r="A173" s="332" t="s">
        <v>273</v>
      </c>
      <c r="B173" s="321" t="s">
        <v>2553</v>
      </c>
      <c r="C173" s="338"/>
      <c r="D173" s="338"/>
      <c r="E173" s="338"/>
      <c r="F173" s="322">
        <v>0.05</v>
      </c>
      <c r="G173" s="334"/>
    </row>
    <row r="174" spans="1:7">
      <c r="A174" s="332" t="s">
        <v>273</v>
      </c>
      <c r="B174" s="321" t="s">
        <v>2555</v>
      </c>
      <c r="C174" s="338"/>
      <c r="D174" s="338"/>
      <c r="E174" s="338"/>
      <c r="F174" s="322">
        <v>0.05</v>
      </c>
      <c r="G174" s="334"/>
    </row>
    <row r="175" spans="1:7">
      <c r="A175" s="332" t="s">
        <v>273</v>
      </c>
      <c r="B175" s="321" t="s">
        <v>2557</v>
      </c>
      <c r="C175" s="338"/>
      <c r="D175" s="338"/>
      <c r="E175" s="338"/>
      <c r="F175" s="322">
        <v>0.05</v>
      </c>
      <c r="G175" s="334"/>
    </row>
    <row r="176" spans="1:7">
      <c r="A176" s="332" t="s">
        <v>273</v>
      </c>
      <c r="B176" s="321" t="s">
        <v>2559</v>
      </c>
      <c r="C176" s="338"/>
      <c r="D176" s="338"/>
      <c r="E176" s="338"/>
      <c r="F176" s="322">
        <v>0.05</v>
      </c>
      <c r="G176" s="334"/>
    </row>
    <row r="177" spans="1:7">
      <c r="A177" s="332" t="s">
        <v>273</v>
      </c>
      <c r="B177" s="321" t="s">
        <v>2561</v>
      </c>
      <c r="C177" s="333"/>
      <c r="D177" s="333"/>
      <c r="E177" s="333"/>
      <c r="F177" s="322">
        <v>0.05</v>
      </c>
      <c r="G177" s="339"/>
    </row>
    <row r="178" spans="1:7">
      <c r="A178" s="332" t="s">
        <v>273</v>
      </c>
      <c r="B178" s="321" t="s">
        <v>2562</v>
      </c>
      <c r="C178" s="333"/>
      <c r="D178" s="333"/>
      <c r="E178" s="333"/>
      <c r="F178" s="322">
        <v>0.05</v>
      </c>
      <c r="G178" s="339"/>
    </row>
    <row r="179" spans="1:7">
      <c r="A179" s="332" t="s">
        <v>273</v>
      </c>
      <c r="B179" s="321" t="s">
        <v>2563</v>
      </c>
      <c r="C179" s="333"/>
      <c r="D179" s="333"/>
      <c r="E179" s="333"/>
      <c r="F179" s="322">
        <v>0.05</v>
      </c>
      <c r="G179" s="339"/>
    </row>
    <row r="180" spans="1:7">
      <c r="A180" s="332" t="s">
        <v>273</v>
      </c>
      <c r="B180" s="321" t="s">
        <v>2564</v>
      </c>
      <c r="C180" s="333"/>
      <c r="D180" s="333"/>
      <c r="E180" s="333"/>
      <c r="F180" s="322">
        <v>0.05</v>
      </c>
      <c r="G180" s="339"/>
    </row>
    <row r="181" spans="1:7">
      <c r="A181" s="332" t="s">
        <v>273</v>
      </c>
      <c r="B181" s="321" t="s">
        <v>2565</v>
      </c>
      <c r="C181" s="333"/>
      <c r="D181" s="333"/>
      <c r="E181" s="333"/>
      <c r="F181" s="322">
        <v>0.05</v>
      </c>
      <c r="G181" s="339"/>
    </row>
    <row r="182" spans="1:7">
      <c r="A182" s="332" t="s">
        <v>273</v>
      </c>
      <c r="B182" s="321" t="s">
        <v>2566</v>
      </c>
      <c r="C182" s="333"/>
      <c r="D182" s="333"/>
      <c r="E182" s="333"/>
      <c r="F182" s="322">
        <v>0.05</v>
      </c>
      <c r="G182" s="339"/>
    </row>
    <row r="183" spans="1:7">
      <c r="A183" s="332" t="s">
        <v>273</v>
      </c>
      <c r="B183" s="321" t="s">
        <v>2567</v>
      </c>
      <c r="C183" s="333"/>
      <c r="D183" s="333"/>
      <c r="E183" s="333"/>
      <c r="F183" s="322">
        <v>0.05</v>
      </c>
      <c r="G183" s="339"/>
    </row>
    <row r="184" spans="1:7">
      <c r="A184" s="332" t="s">
        <v>273</v>
      </c>
      <c r="B184" s="321" t="s">
        <v>2568</v>
      </c>
      <c r="C184" s="333"/>
      <c r="D184" s="333"/>
      <c r="E184" s="333"/>
      <c r="F184" s="322">
        <v>0.05</v>
      </c>
      <c r="G184" s="339"/>
    </row>
    <row r="185" spans="1:7">
      <c r="A185" s="332" t="s">
        <v>273</v>
      </c>
      <c r="B185" s="321" t="s">
        <v>2569</v>
      </c>
      <c r="C185" s="333"/>
      <c r="D185" s="333"/>
      <c r="E185" s="333"/>
      <c r="F185" s="322">
        <v>0.05</v>
      </c>
      <c r="G185" s="339"/>
    </row>
    <row r="186" spans="1:7">
      <c r="A186" s="332" t="s">
        <v>273</v>
      </c>
      <c r="B186" s="321" t="s">
        <v>2570</v>
      </c>
      <c r="C186" s="333"/>
      <c r="D186" s="333"/>
      <c r="E186" s="333"/>
      <c r="F186" s="322">
        <v>0.05</v>
      </c>
      <c r="G186" s="339"/>
    </row>
    <row r="187" spans="1:7">
      <c r="A187" s="332" t="s">
        <v>273</v>
      </c>
      <c r="B187" s="321" t="s">
        <v>2571</v>
      </c>
      <c r="C187" s="333"/>
      <c r="D187" s="333"/>
      <c r="E187" s="333"/>
      <c r="F187" s="322">
        <v>0.05</v>
      </c>
      <c r="G187" s="339"/>
    </row>
    <row r="188" spans="1:7">
      <c r="A188" s="332" t="s">
        <v>273</v>
      </c>
      <c r="B188" s="321" t="s">
        <v>2572</v>
      </c>
      <c r="C188" s="333"/>
      <c r="D188" s="333"/>
      <c r="E188" s="333"/>
      <c r="F188" s="322">
        <v>0.05</v>
      </c>
      <c r="G188" s="339"/>
    </row>
    <row r="189" ht="14.75" spans="1:7">
      <c r="A189" s="335" t="s">
        <v>273</v>
      </c>
      <c r="B189" s="325" t="s">
        <v>2573</v>
      </c>
      <c r="C189" s="327"/>
      <c r="D189" s="327"/>
      <c r="E189" s="327"/>
      <c r="F189" s="326">
        <v>0.05</v>
      </c>
      <c r="G189" s="340"/>
    </row>
    <row r="190" spans="1:7">
      <c r="A190" s="331" t="s">
        <v>278</v>
      </c>
      <c r="B190" s="317" t="s">
        <v>2197</v>
      </c>
      <c r="C190" s="318">
        <v>0.124</v>
      </c>
      <c r="D190" s="318">
        <v>0.124</v>
      </c>
      <c r="E190" s="318">
        <v>0.129</v>
      </c>
      <c r="F190" s="318">
        <v>0.13</v>
      </c>
      <c r="G190" s="319">
        <v>0.127</v>
      </c>
    </row>
    <row r="191" spans="1:7">
      <c r="A191" s="332" t="s">
        <v>278</v>
      </c>
      <c r="B191" s="321" t="s">
        <v>2210</v>
      </c>
      <c r="C191" s="322">
        <v>0.13</v>
      </c>
      <c r="D191" s="322">
        <v>0.13</v>
      </c>
      <c r="E191" s="322">
        <v>0.13</v>
      </c>
      <c r="F191" s="322">
        <v>0.13</v>
      </c>
      <c r="G191" s="323">
        <v>0.13</v>
      </c>
    </row>
    <row r="192" spans="1:7">
      <c r="A192" s="332" t="s">
        <v>278</v>
      </c>
      <c r="B192" s="321" t="s">
        <v>2224</v>
      </c>
      <c r="C192" s="322">
        <v>0.13</v>
      </c>
      <c r="D192" s="322">
        <v>0.13</v>
      </c>
      <c r="E192" s="322">
        <v>0.13</v>
      </c>
      <c r="F192" s="322">
        <v>0.13</v>
      </c>
      <c r="G192" s="323">
        <v>0.13</v>
      </c>
    </row>
    <row r="193" spans="1:7">
      <c r="A193" s="332" t="s">
        <v>278</v>
      </c>
      <c r="B193" s="321" t="s">
        <v>2236</v>
      </c>
      <c r="C193" s="322">
        <v>0.13</v>
      </c>
      <c r="D193" s="322">
        <v>0.13</v>
      </c>
      <c r="E193" s="322">
        <v>0.13</v>
      </c>
      <c r="F193" s="322">
        <v>0.13</v>
      </c>
      <c r="G193" s="323">
        <v>0.13</v>
      </c>
    </row>
    <row r="194" spans="1:7">
      <c r="A194" s="332" t="s">
        <v>278</v>
      </c>
      <c r="B194" s="321" t="s">
        <v>2248</v>
      </c>
      <c r="C194" s="322">
        <v>0.123</v>
      </c>
      <c r="D194" s="322">
        <v>0.123</v>
      </c>
      <c r="E194" s="322">
        <v>0.128</v>
      </c>
      <c r="F194" s="322">
        <v>0.13</v>
      </c>
      <c r="G194" s="323">
        <v>0.126</v>
      </c>
    </row>
    <row r="195" spans="1:7">
      <c r="A195" s="332" t="s">
        <v>278</v>
      </c>
      <c r="B195" s="321" t="s">
        <v>2259</v>
      </c>
      <c r="C195" s="322">
        <v>0.127</v>
      </c>
      <c r="D195" s="322">
        <v>0.127</v>
      </c>
      <c r="E195" s="322">
        <v>0.121</v>
      </c>
      <c r="F195" s="322">
        <v>0.129</v>
      </c>
      <c r="G195" s="323">
        <v>0.129</v>
      </c>
    </row>
    <row r="196" spans="1:7">
      <c r="A196" s="332" t="s">
        <v>278</v>
      </c>
      <c r="B196" s="321" t="s">
        <v>2270</v>
      </c>
      <c r="C196" s="322">
        <v>0.127</v>
      </c>
      <c r="D196" s="322">
        <v>0.128</v>
      </c>
      <c r="E196" s="322">
        <v>0.122</v>
      </c>
      <c r="F196" s="322">
        <v>0.13</v>
      </c>
      <c r="G196" s="323">
        <v>0.129</v>
      </c>
    </row>
    <row r="197" spans="1:7">
      <c r="A197" s="332" t="s">
        <v>278</v>
      </c>
      <c r="B197" s="321" t="s">
        <v>2281</v>
      </c>
      <c r="C197" s="322">
        <v>0.126</v>
      </c>
      <c r="D197" s="322">
        <v>0.126</v>
      </c>
      <c r="E197" s="322">
        <v>0.119</v>
      </c>
      <c r="F197" s="322">
        <v>0.13</v>
      </c>
      <c r="G197" s="323">
        <v>0.128</v>
      </c>
    </row>
    <row r="198" spans="1:7">
      <c r="A198" s="332" t="s">
        <v>278</v>
      </c>
      <c r="B198" s="321" t="s">
        <v>2291</v>
      </c>
      <c r="C198" s="322">
        <v>0.13</v>
      </c>
      <c r="D198" s="322">
        <v>0.13</v>
      </c>
      <c r="E198" s="322">
        <v>0.126</v>
      </c>
      <c r="F198" s="338"/>
      <c r="G198" s="323">
        <v>0.13</v>
      </c>
    </row>
    <row r="199" spans="1:7">
      <c r="A199" s="332" t="s">
        <v>278</v>
      </c>
      <c r="B199" s="321" t="s">
        <v>2301</v>
      </c>
      <c r="C199" s="322">
        <v>0.13</v>
      </c>
      <c r="D199" s="322">
        <v>0.13</v>
      </c>
      <c r="E199" s="322">
        <v>0.13</v>
      </c>
      <c r="F199" s="322">
        <v>0.13</v>
      </c>
      <c r="G199" s="323">
        <v>0.13</v>
      </c>
    </row>
    <row r="200" spans="1:7">
      <c r="A200" s="332" t="s">
        <v>278</v>
      </c>
      <c r="B200" s="321" t="s">
        <v>2311</v>
      </c>
      <c r="C200" s="338"/>
      <c r="D200" s="338"/>
      <c r="E200" s="338"/>
      <c r="F200" s="322">
        <v>0.13</v>
      </c>
      <c r="G200" s="334"/>
    </row>
    <row r="201" spans="1:7">
      <c r="A201" s="332" t="s">
        <v>278</v>
      </c>
      <c r="B201" s="321" t="s">
        <v>2321</v>
      </c>
      <c r="C201" s="322">
        <v>0.13</v>
      </c>
      <c r="D201" s="322">
        <v>0.13</v>
      </c>
      <c r="E201" s="322">
        <v>0.13</v>
      </c>
      <c r="F201" s="322">
        <v>0.129</v>
      </c>
      <c r="G201" s="323">
        <v>0.13</v>
      </c>
    </row>
    <row r="202" spans="1:7">
      <c r="A202" s="332" t="s">
        <v>278</v>
      </c>
      <c r="B202" s="321" t="s">
        <v>2331</v>
      </c>
      <c r="C202" s="322">
        <v>0.13</v>
      </c>
      <c r="D202" s="322">
        <v>0.13</v>
      </c>
      <c r="E202" s="322">
        <v>0.13</v>
      </c>
      <c r="F202" s="322">
        <v>0.13</v>
      </c>
      <c r="G202" s="323">
        <v>0.13</v>
      </c>
    </row>
    <row r="203" spans="1:7">
      <c r="A203" s="332" t="s">
        <v>278</v>
      </c>
      <c r="B203" s="321" t="s">
        <v>2341</v>
      </c>
      <c r="C203" s="322">
        <v>0.129</v>
      </c>
      <c r="D203" s="322">
        <v>0.129</v>
      </c>
      <c r="E203" s="322">
        <v>0.13</v>
      </c>
      <c r="F203" s="322">
        <v>0.13</v>
      </c>
      <c r="G203" s="323">
        <v>0.13</v>
      </c>
    </row>
    <row r="204" spans="1:7">
      <c r="A204" s="332" t="s">
        <v>278</v>
      </c>
      <c r="B204" s="321" t="s">
        <v>2351</v>
      </c>
      <c r="C204" s="322">
        <v>0.129</v>
      </c>
      <c r="D204" s="322">
        <v>0.129</v>
      </c>
      <c r="E204" s="322">
        <v>0.123</v>
      </c>
      <c r="F204" s="322">
        <v>0.13</v>
      </c>
      <c r="G204" s="323">
        <v>0.13</v>
      </c>
    </row>
    <row r="205" spans="1:7">
      <c r="A205" s="332" t="s">
        <v>278</v>
      </c>
      <c r="B205" s="321" t="s">
        <v>2361</v>
      </c>
      <c r="C205" s="322">
        <v>0.13</v>
      </c>
      <c r="D205" s="322">
        <v>0.13</v>
      </c>
      <c r="E205" s="322">
        <v>0.13</v>
      </c>
      <c r="F205" s="322">
        <v>0.13</v>
      </c>
      <c r="G205" s="323">
        <v>0.13</v>
      </c>
    </row>
    <row r="206" spans="1:7">
      <c r="A206" s="332" t="s">
        <v>278</v>
      </c>
      <c r="B206" s="321" t="s">
        <v>2371</v>
      </c>
      <c r="C206" s="322">
        <v>0.13</v>
      </c>
      <c r="D206" s="322">
        <v>0.13</v>
      </c>
      <c r="E206" s="322">
        <v>0.13</v>
      </c>
      <c r="F206" s="322">
        <v>0.128</v>
      </c>
      <c r="G206" s="323">
        <v>0.13</v>
      </c>
    </row>
    <row r="207" spans="1:7">
      <c r="A207" s="332" t="s">
        <v>278</v>
      </c>
      <c r="B207" s="321" t="s">
        <v>2381</v>
      </c>
      <c r="C207" s="322">
        <v>0.13</v>
      </c>
      <c r="D207" s="322">
        <v>0.13</v>
      </c>
      <c r="E207" s="322">
        <v>0.13</v>
      </c>
      <c r="F207" s="322">
        <v>0.13</v>
      </c>
      <c r="G207" s="323">
        <v>0.13</v>
      </c>
    </row>
    <row r="208" spans="1:7">
      <c r="A208" s="332" t="s">
        <v>278</v>
      </c>
      <c r="B208" s="321" t="s">
        <v>2391</v>
      </c>
      <c r="C208" s="322">
        <v>0.13</v>
      </c>
      <c r="D208" s="322">
        <v>0.13</v>
      </c>
      <c r="E208" s="322">
        <v>0.13</v>
      </c>
      <c r="F208" s="322">
        <v>0.13</v>
      </c>
      <c r="G208" s="323">
        <v>0.13</v>
      </c>
    </row>
    <row r="209" spans="1:7">
      <c r="A209" s="332" t="s">
        <v>278</v>
      </c>
      <c r="B209" s="321" t="s">
        <v>2401</v>
      </c>
      <c r="C209" s="322">
        <v>0.13</v>
      </c>
      <c r="D209" s="322">
        <v>0.13</v>
      </c>
      <c r="E209" s="322">
        <v>0.13</v>
      </c>
      <c r="F209" s="322">
        <v>0.13</v>
      </c>
      <c r="G209" s="323">
        <v>0.13</v>
      </c>
    </row>
    <row r="210" spans="1:7">
      <c r="A210" s="332" t="s">
        <v>278</v>
      </c>
      <c r="B210" s="321" t="s">
        <v>2410</v>
      </c>
      <c r="C210" s="322">
        <v>0.121</v>
      </c>
      <c r="D210" s="322">
        <v>0.121</v>
      </c>
      <c r="E210" s="322">
        <v>0.125</v>
      </c>
      <c r="F210" s="322">
        <v>0.13</v>
      </c>
      <c r="G210" s="323">
        <v>0.123</v>
      </c>
    </row>
    <row r="211" spans="1:7">
      <c r="A211" s="332" t="s">
        <v>278</v>
      </c>
      <c r="B211" s="321" t="s">
        <v>2418</v>
      </c>
      <c r="C211" s="322">
        <v>0.123</v>
      </c>
      <c r="D211" s="322">
        <v>0.123</v>
      </c>
      <c r="E211" s="322">
        <v>0.127</v>
      </c>
      <c r="F211" s="322">
        <v>0.115</v>
      </c>
      <c r="G211" s="323">
        <v>0.126</v>
      </c>
    </row>
    <row r="212" spans="1:7">
      <c r="A212" s="332" t="s">
        <v>278</v>
      </c>
      <c r="B212" s="321" t="s">
        <v>2426</v>
      </c>
      <c r="C212" s="322">
        <v>0.126</v>
      </c>
      <c r="D212" s="322">
        <v>0.126</v>
      </c>
      <c r="E212" s="322">
        <v>0.13</v>
      </c>
      <c r="F212" s="322">
        <v>0.13</v>
      </c>
      <c r="G212" s="323">
        <v>0.129</v>
      </c>
    </row>
    <row r="213" spans="1:7">
      <c r="A213" s="332" t="s">
        <v>278</v>
      </c>
      <c r="B213" s="321" t="s">
        <v>2434</v>
      </c>
      <c r="C213" s="322">
        <v>0.129</v>
      </c>
      <c r="D213" s="322">
        <v>0.13</v>
      </c>
      <c r="E213" s="322">
        <v>0.127</v>
      </c>
      <c r="F213" s="322">
        <v>0.13</v>
      </c>
      <c r="G213" s="323">
        <v>0.13</v>
      </c>
    </row>
    <row r="214" spans="1:7">
      <c r="A214" s="332" t="s">
        <v>278</v>
      </c>
      <c r="B214" s="321" t="s">
        <v>2442</v>
      </c>
      <c r="C214" s="322">
        <v>0.128</v>
      </c>
      <c r="D214" s="322">
        <v>0.128</v>
      </c>
      <c r="E214" s="322">
        <v>0.13</v>
      </c>
      <c r="F214" s="322">
        <v>0.13</v>
      </c>
      <c r="G214" s="323">
        <v>0.13</v>
      </c>
    </row>
    <row r="215" spans="1:7">
      <c r="A215" s="332" t="s">
        <v>278</v>
      </c>
      <c r="B215" s="321" t="s">
        <v>2449</v>
      </c>
      <c r="C215" s="322">
        <v>0.13</v>
      </c>
      <c r="D215" s="322">
        <v>0.13</v>
      </c>
      <c r="E215" s="322">
        <v>0.13</v>
      </c>
      <c r="F215" s="322">
        <v>0.129</v>
      </c>
      <c r="G215" s="323">
        <v>0.13</v>
      </c>
    </row>
    <row r="216" spans="1:7">
      <c r="A216" s="332" t="s">
        <v>278</v>
      </c>
      <c r="B216" s="321" t="s">
        <v>2456</v>
      </c>
      <c r="C216" s="322">
        <v>0.13</v>
      </c>
      <c r="D216" s="322">
        <v>0.13</v>
      </c>
      <c r="E216" s="322">
        <v>0.13</v>
      </c>
      <c r="F216" s="322">
        <v>0.13</v>
      </c>
      <c r="G216" s="323">
        <v>0.13</v>
      </c>
    </row>
    <row r="217" spans="1:7">
      <c r="A217" s="332" t="s">
        <v>278</v>
      </c>
      <c r="B217" s="321" t="s">
        <v>2463</v>
      </c>
      <c r="C217" s="322">
        <v>0.129</v>
      </c>
      <c r="D217" s="322">
        <v>0.129</v>
      </c>
      <c r="E217" s="322">
        <v>0.13</v>
      </c>
      <c r="F217" s="322">
        <v>0.13</v>
      </c>
      <c r="G217" s="323">
        <v>0.13</v>
      </c>
    </row>
    <row r="218" spans="1:7">
      <c r="A218" s="332" t="s">
        <v>278</v>
      </c>
      <c r="B218" s="321" t="s">
        <v>2470</v>
      </c>
      <c r="C218" s="333"/>
      <c r="D218" s="333"/>
      <c r="E218" s="333"/>
      <c r="F218" s="322">
        <v>0.05</v>
      </c>
      <c r="G218" s="339"/>
    </row>
    <row r="219" spans="1:7">
      <c r="A219" s="332" t="s">
        <v>278</v>
      </c>
      <c r="B219" s="321" t="s">
        <v>2477</v>
      </c>
      <c r="C219" s="333"/>
      <c r="D219" s="333"/>
      <c r="E219" s="333"/>
      <c r="F219" s="322">
        <v>0.05</v>
      </c>
      <c r="G219" s="339"/>
    </row>
    <row r="220" spans="1:7">
      <c r="A220" s="332" t="s">
        <v>278</v>
      </c>
      <c r="B220" s="321" t="s">
        <v>2484</v>
      </c>
      <c r="C220" s="333"/>
      <c r="D220" s="333"/>
      <c r="E220" s="333"/>
      <c r="F220" s="322">
        <v>0.05</v>
      </c>
      <c r="G220" s="339"/>
    </row>
    <row r="221" spans="1:7">
      <c r="A221" s="332" t="s">
        <v>278</v>
      </c>
      <c r="B221" s="321" t="s">
        <v>2491</v>
      </c>
      <c r="C221" s="333"/>
      <c r="D221" s="333"/>
      <c r="E221" s="333"/>
      <c r="F221" s="322">
        <v>0.05</v>
      </c>
      <c r="G221" s="339"/>
    </row>
    <row r="222" spans="1:7">
      <c r="A222" s="332" t="s">
        <v>278</v>
      </c>
      <c r="B222" s="321" t="s">
        <v>2496</v>
      </c>
      <c r="C222" s="333"/>
      <c r="D222" s="333"/>
      <c r="E222" s="333"/>
      <c r="F222" s="322">
        <v>0.05</v>
      </c>
      <c r="G222" s="339"/>
    </row>
    <row r="223" spans="1:7">
      <c r="A223" s="332" t="s">
        <v>278</v>
      </c>
      <c r="B223" s="321" t="s">
        <v>2501</v>
      </c>
      <c r="C223" s="333"/>
      <c r="D223" s="333"/>
      <c r="E223" s="333"/>
      <c r="F223" s="322">
        <v>0.05</v>
      </c>
      <c r="G223" s="339"/>
    </row>
    <row r="224" spans="1:7">
      <c r="A224" s="332" t="s">
        <v>278</v>
      </c>
      <c r="B224" s="321" t="s">
        <v>2506</v>
      </c>
      <c r="C224" s="333"/>
      <c r="D224" s="333"/>
      <c r="E224" s="333"/>
      <c r="F224" s="322">
        <v>0.05</v>
      </c>
      <c r="G224" s="339"/>
    </row>
    <row r="225" spans="1:7">
      <c r="A225" s="332" t="s">
        <v>278</v>
      </c>
      <c r="B225" s="321" t="s">
        <v>2511</v>
      </c>
      <c r="C225" s="333"/>
      <c r="D225" s="333"/>
      <c r="E225" s="333"/>
      <c r="F225" s="322">
        <v>0.05</v>
      </c>
      <c r="G225" s="339"/>
    </row>
    <row r="226" spans="1:7">
      <c r="A226" s="332" t="s">
        <v>278</v>
      </c>
      <c r="B226" s="321" t="s">
        <v>2516</v>
      </c>
      <c r="C226" s="333"/>
      <c r="D226" s="333"/>
      <c r="E226" s="333"/>
      <c r="F226" s="322">
        <v>0.05</v>
      </c>
      <c r="G226" s="339"/>
    </row>
    <row r="227" spans="1:7">
      <c r="A227" s="332" t="s">
        <v>278</v>
      </c>
      <c r="B227" s="321" t="s">
        <v>2575</v>
      </c>
      <c r="C227" s="333"/>
      <c r="D227" s="333"/>
      <c r="E227" s="333"/>
      <c r="F227" s="322">
        <v>0.05</v>
      </c>
      <c r="G227" s="339"/>
    </row>
    <row r="228" spans="1:7">
      <c r="A228" s="332" t="s">
        <v>278</v>
      </c>
      <c r="B228" s="321" t="s">
        <v>2576</v>
      </c>
      <c r="C228" s="333"/>
      <c r="D228" s="333"/>
      <c r="E228" s="333"/>
      <c r="F228" s="322">
        <v>0.05</v>
      </c>
      <c r="G228" s="339"/>
    </row>
    <row r="229" spans="1:7">
      <c r="A229" s="332" t="s">
        <v>278</v>
      </c>
      <c r="B229" s="321" t="s">
        <v>2577</v>
      </c>
      <c r="C229" s="333"/>
      <c r="D229" s="333"/>
      <c r="E229" s="333"/>
      <c r="F229" s="322">
        <v>0.05</v>
      </c>
      <c r="G229" s="339"/>
    </row>
    <row r="230" spans="1:7">
      <c r="A230" s="332" t="s">
        <v>278</v>
      </c>
      <c r="B230" s="321" t="s">
        <v>2535</v>
      </c>
      <c r="C230" s="333"/>
      <c r="D230" s="333"/>
      <c r="E230" s="333"/>
      <c r="F230" s="322">
        <v>0.05</v>
      </c>
      <c r="G230" s="339"/>
    </row>
    <row r="231" spans="1:7">
      <c r="A231" s="332" t="s">
        <v>278</v>
      </c>
      <c r="B231" s="321" t="s">
        <v>2539</v>
      </c>
      <c r="C231" s="333"/>
      <c r="D231" s="333"/>
      <c r="E231" s="333"/>
      <c r="F231" s="322">
        <v>0.05</v>
      </c>
      <c r="G231" s="339"/>
    </row>
    <row r="232" spans="1:7">
      <c r="A232" s="332" t="s">
        <v>278</v>
      </c>
      <c r="B232" s="321" t="s">
        <v>2578</v>
      </c>
      <c r="C232" s="333"/>
      <c r="D232" s="333"/>
      <c r="E232" s="333"/>
      <c r="F232" s="322">
        <v>0.05</v>
      </c>
      <c r="G232" s="339"/>
    </row>
    <row r="233" ht="14.75" spans="1:7">
      <c r="A233" s="335" t="s">
        <v>278</v>
      </c>
      <c r="B233" s="325" t="s">
        <v>2547</v>
      </c>
      <c r="C233" s="327"/>
      <c r="D233" s="327"/>
      <c r="E233" s="327"/>
      <c r="F233" s="326">
        <v>0.05</v>
      </c>
      <c r="G233" s="340"/>
    </row>
    <row r="234" spans="1:7">
      <c r="A234" s="331" t="s">
        <v>284</v>
      </c>
      <c r="B234" s="317" t="s">
        <v>2198</v>
      </c>
      <c r="C234" s="318">
        <v>0.13</v>
      </c>
      <c r="D234" s="318">
        <v>0.128</v>
      </c>
      <c r="E234" s="318">
        <v>0.142</v>
      </c>
      <c r="F234" s="318">
        <v>0.147</v>
      </c>
      <c r="G234" s="319">
        <v>0.14</v>
      </c>
    </row>
    <row r="235" spans="1:7">
      <c r="A235" s="332" t="s">
        <v>284</v>
      </c>
      <c r="B235" s="321" t="s">
        <v>2211</v>
      </c>
      <c r="C235" s="322">
        <v>0.136</v>
      </c>
      <c r="D235" s="322">
        <v>0.138</v>
      </c>
      <c r="E235" s="322">
        <v>0.145</v>
      </c>
      <c r="F235" s="322">
        <v>0.143</v>
      </c>
      <c r="G235" s="323">
        <v>0.141</v>
      </c>
    </row>
    <row r="236" spans="1:7">
      <c r="A236" s="332" t="s">
        <v>284</v>
      </c>
      <c r="B236" s="321" t="s">
        <v>2225</v>
      </c>
      <c r="C236" s="322">
        <v>0.15</v>
      </c>
      <c r="D236" s="322">
        <v>0.15</v>
      </c>
      <c r="E236" s="322">
        <v>0.15</v>
      </c>
      <c r="F236" s="322">
        <v>0.15</v>
      </c>
      <c r="G236" s="323">
        <v>0.15</v>
      </c>
    </row>
    <row r="237" spans="1:7">
      <c r="A237" s="332" t="s">
        <v>284</v>
      </c>
      <c r="B237" s="321" t="s">
        <v>2237</v>
      </c>
      <c r="C237" s="322">
        <v>0.15</v>
      </c>
      <c r="D237" s="322">
        <v>0.15</v>
      </c>
      <c r="E237" s="322">
        <v>0.15</v>
      </c>
      <c r="F237" s="322">
        <v>0.15</v>
      </c>
      <c r="G237" s="323">
        <v>0.15</v>
      </c>
    </row>
    <row r="238" spans="1:7">
      <c r="A238" s="332" t="s">
        <v>284</v>
      </c>
      <c r="B238" s="321" t="s">
        <v>2249</v>
      </c>
      <c r="C238" s="322">
        <v>0.149</v>
      </c>
      <c r="D238" s="322">
        <v>0.149</v>
      </c>
      <c r="E238" s="322">
        <v>0.15</v>
      </c>
      <c r="F238" s="322">
        <v>0.15</v>
      </c>
      <c r="G238" s="323">
        <v>0.15</v>
      </c>
    </row>
    <row r="239" spans="1:7">
      <c r="A239" s="332" t="s">
        <v>284</v>
      </c>
      <c r="B239" s="321" t="s">
        <v>2260</v>
      </c>
      <c r="C239" s="322">
        <v>0.15</v>
      </c>
      <c r="D239" s="322">
        <v>0.15</v>
      </c>
      <c r="E239" s="322">
        <v>0.15</v>
      </c>
      <c r="F239" s="322">
        <v>0.15</v>
      </c>
      <c r="G239" s="323">
        <v>0.15</v>
      </c>
    </row>
    <row r="240" spans="1:7">
      <c r="A240" s="332" t="s">
        <v>284</v>
      </c>
      <c r="B240" s="321" t="s">
        <v>2271</v>
      </c>
      <c r="C240" s="322">
        <v>0.15</v>
      </c>
      <c r="D240" s="322">
        <v>0.15</v>
      </c>
      <c r="E240" s="322">
        <v>0.15</v>
      </c>
      <c r="F240" s="322">
        <v>0.15</v>
      </c>
      <c r="G240" s="323">
        <v>0.15</v>
      </c>
    </row>
    <row r="241" spans="1:7">
      <c r="A241" s="332" t="s">
        <v>284</v>
      </c>
      <c r="B241" s="321" t="s">
        <v>2282</v>
      </c>
      <c r="C241" s="322">
        <v>0.141</v>
      </c>
      <c r="D241" s="322">
        <v>0.142</v>
      </c>
      <c r="E241" s="322">
        <v>0.149</v>
      </c>
      <c r="F241" s="322">
        <v>0.15</v>
      </c>
      <c r="G241" s="323">
        <v>0.144</v>
      </c>
    </row>
    <row r="242" spans="1:7">
      <c r="A242" s="332" t="s">
        <v>284</v>
      </c>
      <c r="B242" s="321" t="s">
        <v>2292</v>
      </c>
      <c r="C242" s="322">
        <v>0.141</v>
      </c>
      <c r="D242" s="322">
        <v>0.142</v>
      </c>
      <c r="E242" s="322">
        <v>0.148</v>
      </c>
      <c r="F242" s="322">
        <v>0.127</v>
      </c>
      <c r="G242" s="323">
        <v>0.144</v>
      </c>
    </row>
    <row r="243" spans="1:7">
      <c r="A243" s="332" t="s">
        <v>284</v>
      </c>
      <c r="B243" s="321" t="s">
        <v>2302</v>
      </c>
      <c r="C243" s="322">
        <v>0.147</v>
      </c>
      <c r="D243" s="322">
        <v>0.147</v>
      </c>
      <c r="E243" s="322">
        <v>0.15</v>
      </c>
      <c r="F243" s="322">
        <v>0.15</v>
      </c>
      <c r="G243" s="323">
        <v>0.149</v>
      </c>
    </row>
    <row r="244" spans="1:7">
      <c r="A244" s="332" t="s">
        <v>284</v>
      </c>
      <c r="B244" s="321" t="s">
        <v>2312</v>
      </c>
      <c r="C244" s="322">
        <v>0.15</v>
      </c>
      <c r="D244" s="322">
        <v>0.15</v>
      </c>
      <c r="E244" s="322">
        <v>0.15</v>
      </c>
      <c r="F244" s="322">
        <v>0.15</v>
      </c>
      <c r="G244" s="323">
        <v>0.15</v>
      </c>
    </row>
    <row r="245" spans="1:7">
      <c r="A245" s="332" t="s">
        <v>284</v>
      </c>
      <c r="B245" s="321" t="s">
        <v>2322</v>
      </c>
      <c r="C245" s="322">
        <v>0.142</v>
      </c>
      <c r="D245" s="322">
        <v>0.142</v>
      </c>
      <c r="E245" s="322">
        <v>0.15</v>
      </c>
      <c r="F245" s="322">
        <v>0.15</v>
      </c>
      <c r="G245" s="323">
        <v>0.145</v>
      </c>
    </row>
    <row r="246" spans="1:7">
      <c r="A246" s="332" t="s">
        <v>284</v>
      </c>
      <c r="B246" s="321" t="s">
        <v>2332</v>
      </c>
      <c r="C246" s="322">
        <v>0.142</v>
      </c>
      <c r="D246" s="322">
        <v>0.143</v>
      </c>
      <c r="E246" s="322">
        <v>0.15</v>
      </c>
      <c r="F246" s="322">
        <v>0.142</v>
      </c>
      <c r="G246" s="323">
        <v>0.144</v>
      </c>
    </row>
    <row r="247" spans="1:7">
      <c r="A247" s="332" t="s">
        <v>284</v>
      </c>
      <c r="B247" s="321" t="s">
        <v>2342</v>
      </c>
      <c r="C247" s="322">
        <v>0.149</v>
      </c>
      <c r="D247" s="322">
        <v>0.149</v>
      </c>
      <c r="E247" s="322">
        <v>0.15</v>
      </c>
      <c r="F247" s="322">
        <v>0.15</v>
      </c>
      <c r="G247" s="323">
        <v>0.15</v>
      </c>
    </row>
    <row r="248" spans="1:7">
      <c r="A248" s="332" t="s">
        <v>284</v>
      </c>
      <c r="B248" s="321" t="s">
        <v>2352</v>
      </c>
      <c r="C248" s="322">
        <v>0.144</v>
      </c>
      <c r="D248" s="322">
        <v>0.144</v>
      </c>
      <c r="E248" s="322">
        <v>0.149</v>
      </c>
      <c r="F248" s="322">
        <v>0.148</v>
      </c>
      <c r="G248" s="323">
        <v>0.146</v>
      </c>
    </row>
    <row r="249" spans="1:7">
      <c r="A249" s="332" t="s">
        <v>284</v>
      </c>
      <c r="B249" s="321" t="s">
        <v>2362</v>
      </c>
      <c r="C249" s="322">
        <v>0.14</v>
      </c>
      <c r="D249" s="322">
        <v>0.14</v>
      </c>
      <c r="E249" s="322">
        <v>0.147</v>
      </c>
      <c r="F249" s="322">
        <v>0.149</v>
      </c>
      <c r="G249" s="323">
        <v>0.142</v>
      </c>
    </row>
    <row r="250" spans="1:7">
      <c r="A250" s="332" t="s">
        <v>284</v>
      </c>
      <c r="B250" s="321" t="s">
        <v>2372</v>
      </c>
      <c r="C250" s="322">
        <v>0.144</v>
      </c>
      <c r="D250" s="322">
        <v>0.143</v>
      </c>
      <c r="E250" s="322">
        <v>0.149</v>
      </c>
      <c r="F250" s="322">
        <v>0.15</v>
      </c>
      <c r="G250" s="323">
        <v>0.146</v>
      </c>
    </row>
    <row r="251" spans="1:7">
      <c r="A251" s="332" t="s">
        <v>284</v>
      </c>
      <c r="B251" s="321" t="s">
        <v>2382</v>
      </c>
      <c r="C251" s="338"/>
      <c r="D251" s="333"/>
      <c r="E251" s="333"/>
      <c r="F251" s="322">
        <v>0.1</v>
      </c>
      <c r="G251" s="339"/>
    </row>
    <row r="252" spans="1:7">
      <c r="A252" s="332" t="s">
        <v>284</v>
      </c>
      <c r="B252" s="321" t="s">
        <v>2392</v>
      </c>
      <c r="C252" s="322">
        <v>0.144</v>
      </c>
      <c r="D252" s="322">
        <v>0.144</v>
      </c>
      <c r="E252" s="322">
        <v>0.15</v>
      </c>
      <c r="F252" s="322">
        <v>0.149</v>
      </c>
      <c r="G252" s="323">
        <v>0.146</v>
      </c>
    </row>
    <row r="253" spans="1:7">
      <c r="A253" s="332" t="s">
        <v>284</v>
      </c>
      <c r="B253" s="321" t="s">
        <v>2402</v>
      </c>
      <c r="C253" s="322">
        <v>0.142</v>
      </c>
      <c r="D253" s="322">
        <v>0.142</v>
      </c>
      <c r="E253" s="322">
        <v>0.146</v>
      </c>
      <c r="F253" s="322">
        <v>0.148</v>
      </c>
      <c r="G253" s="323">
        <v>0.145</v>
      </c>
    </row>
    <row r="254" spans="1:7">
      <c r="A254" s="332" t="s">
        <v>284</v>
      </c>
      <c r="B254" s="321" t="s">
        <v>2411</v>
      </c>
      <c r="C254" s="322">
        <v>0.15</v>
      </c>
      <c r="D254" s="322">
        <v>0.15</v>
      </c>
      <c r="E254" s="322">
        <v>0.15</v>
      </c>
      <c r="F254" s="322">
        <v>0.15</v>
      </c>
      <c r="G254" s="323">
        <v>0.15</v>
      </c>
    </row>
    <row r="255" spans="1:7">
      <c r="A255" s="332" t="s">
        <v>284</v>
      </c>
      <c r="B255" s="321" t="s">
        <v>2419</v>
      </c>
      <c r="C255" s="322">
        <v>0.143</v>
      </c>
      <c r="D255" s="322">
        <v>0.143</v>
      </c>
      <c r="E255" s="322">
        <v>0.15</v>
      </c>
      <c r="F255" s="322">
        <v>0.15</v>
      </c>
      <c r="G255" s="323">
        <v>0.145</v>
      </c>
    </row>
    <row r="256" spans="1:7">
      <c r="A256" s="332" t="s">
        <v>284</v>
      </c>
      <c r="B256" s="321" t="s">
        <v>2427</v>
      </c>
      <c r="C256" s="322">
        <v>0.15</v>
      </c>
      <c r="D256" s="322">
        <v>0.15</v>
      </c>
      <c r="E256" s="322">
        <v>0.15</v>
      </c>
      <c r="F256" s="322">
        <v>0.146</v>
      </c>
      <c r="G256" s="323">
        <v>0.15</v>
      </c>
    </row>
    <row r="257" spans="1:7">
      <c r="A257" s="332" t="s">
        <v>284</v>
      </c>
      <c r="B257" s="321" t="s">
        <v>2435</v>
      </c>
      <c r="C257" s="322">
        <v>0.142</v>
      </c>
      <c r="D257" s="322">
        <v>0.143</v>
      </c>
      <c r="E257" s="322">
        <v>0.148</v>
      </c>
      <c r="F257" s="322">
        <v>0.15</v>
      </c>
      <c r="G257" s="323">
        <v>0.145</v>
      </c>
    </row>
    <row r="258" spans="1:7">
      <c r="A258" s="332" t="s">
        <v>284</v>
      </c>
      <c r="B258" s="321" t="s">
        <v>2443</v>
      </c>
      <c r="C258" s="322">
        <v>0.143</v>
      </c>
      <c r="D258" s="322">
        <v>0.143</v>
      </c>
      <c r="E258" s="322">
        <v>0.15</v>
      </c>
      <c r="F258" s="322">
        <v>0.148</v>
      </c>
      <c r="G258" s="323">
        <v>0.146</v>
      </c>
    </row>
    <row r="259" spans="1:7">
      <c r="A259" s="332" t="s">
        <v>284</v>
      </c>
      <c r="B259" s="321" t="s">
        <v>2450</v>
      </c>
      <c r="C259" s="322">
        <v>0.144</v>
      </c>
      <c r="D259" s="322">
        <v>0.144</v>
      </c>
      <c r="E259" s="322">
        <v>0.149</v>
      </c>
      <c r="F259" s="322">
        <v>0.147</v>
      </c>
      <c r="G259" s="323">
        <v>0.146</v>
      </c>
    </row>
    <row r="260" spans="1:7">
      <c r="A260" s="332" t="s">
        <v>284</v>
      </c>
      <c r="B260" s="321" t="s">
        <v>2457</v>
      </c>
      <c r="C260" s="322">
        <v>0.109</v>
      </c>
      <c r="D260" s="322">
        <v>0.111</v>
      </c>
      <c r="E260" s="322">
        <v>0.131</v>
      </c>
      <c r="F260" s="322">
        <v>0.126</v>
      </c>
      <c r="G260" s="323">
        <v>0.119</v>
      </c>
    </row>
    <row r="261" spans="1:7">
      <c r="A261" s="332" t="s">
        <v>284</v>
      </c>
      <c r="B261" s="321" t="s">
        <v>2464</v>
      </c>
      <c r="C261" s="322">
        <v>0.1</v>
      </c>
      <c r="D261" s="322">
        <v>0.1</v>
      </c>
      <c r="E261" s="322">
        <v>0.118</v>
      </c>
      <c r="F261" s="322">
        <v>0.108</v>
      </c>
      <c r="G261" s="323">
        <v>0.107</v>
      </c>
    </row>
    <row r="262" spans="1:7">
      <c r="A262" s="332" t="s">
        <v>284</v>
      </c>
      <c r="B262" s="321" t="s">
        <v>2471</v>
      </c>
      <c r="C262" s="322">
        <v>0.1</v>
      </c>
      <c r="D262" s="322">
        <v>0.1</v>
      </c>
      <c r="E262" s="322">
        <v>0.1</v>
      </c>
      <c r="F262" s="322">
        <v>0.141</v>
      </c>
      <c r="G262" s="323">
        <v>0.1</v>
      </c>
    </row>
    <row r="263" spans="1:7">
      <c r="A263" s="332" t="s">
        <v>284</v>
      </c>
      <c r="B263" s="321" t="s">
        <v>2478</v>
      </c>
      <c r="C263" s="322">
        <v>0.148</v>
      </c>
      <c r="D263" s="322">
        <v>0.148</v>
      </c>
      <c r="E263" s="322">
        <v>0.15</v>
      </c>
      <c r="F263" s="322">
        <v>0.147</v>
      </c>
      <c r="G263" s="323">
        <v>0.15</v>
      </c>
    </row>
    <row r="264" spans="1:7">
      <c r="A264" s="332" t="s">
        <v>284</v>
      </c>
      <c r="B264" s="321" t="s">
        <v>2485</v>
      </c>
      <c r="C264" s="322">
        <v>0.143</v>
      </c>
      <c r="D264" s="322">
        <v>0.143</v>
      </c>
      <c r="E264" s="322">
        <v>0.15</v>
      </c>
      <c r="F264" s="322">
        <v>0.149</v>
      </c>
      <c r="G264" s="323">
        <v>0.146</v>
      </c>
    </row>
    <row r="265" spans="1:7">
      <c r="A265" s="332" t="s">
        <v>284</v>
      </c>
      <c r="B265" s="321" t="s">
        <v>2492</v>
      </c>
      <c r="C265" s="333"/>
      <c r="D265" s="333"/>
      <c r="E265" s="333"/>
      <c r="F265" s="322">
        <v>0.05</v>
      </c>
      <c r="G265" s="339"/>
    </row>
    <row r="266" spans="1:7">
      <c r="A266" s="332" t="s">
        <v>284</v>
      </c>
      <c r="B266" s="321" t="s">
        <v>2497</v>
      </c>
      <c r="C266" s="333"/>
      <c r="D266" s="333"/>
      <c r="E266" s="333"/>
      <c r="F266" s="322">
        <v>0.05</v>
      </c>
      <c r="G266" s="339"/>
    </row>
    <row r="267" spans="1:7">
      <c r="A267" s="332" t="s">
        <v>284</v>
      </c>
      <c r="B267" s="321" t="s">
        <v>2502</v>
      </c>
      <c r="C267" s="333"/>
      <c r="D267" s="333"/>
      <c r="E267" s="333"/>
      <c r="F267" s="322">
        <v>0.05</v>
      </c>
      <c r="G267" s="339"/>
    </row>
    <row r="268" spans="1:7">
      <c r="A268" s="332" t="s">
        <v>284</v>
      </c>
      <c r="B268" s="321" t="s">
        <v>2507</v>
      </c>
      <c r="C268" s="333"/>
      <c r="D268" s="333"/>
      <c r="E268" s="333"/>
      <c r="F268" s="322">
        <v>0.05</v>
      </c>
      <c r="G268" s="339"/>
    </row>
    <row r="269" spans="1:7">
      <c r="A269" s="332" t="s">
        <v>284</v>
      </c>
      <c r="B269" s="321" t="s">
        <v>2512</v>
      </c>
      <c r="C269" s="333"/>
      <c r="D269" s="333"/>
      <c r="E269" s="333"/>
      <c r="F269" s="322">
        <v>0.05</v>
      </c>
      <c r="G269" s="339"/>
    </row>
    <row r="270" spans="1:7">
      <c r="A270" s="332" t="s">
        <v>284</v>
      </c>
      <c r="B270" s="321" t="s">
        <v>2517</v>
      </c>
      <c r="C270" s="333"/>
      <c r="D270" s="333"/>
      <c r="E270" s="333"/>
      <c r="F270" s="322">
        <v>0.05</v>
      </c>
      <c r="G270" s="339"/>
    </row>
    <row r="271" spans="1:7">
      <c r="A271" s="332" t="s">
        <v>284</v>
      </c>
      <c r="B271" s="321" t="s">
        <v>2522</v>
      </c>
      <c r="C271" s="333"/>
      <c r="D271" s="333"/>
      <c r="E271" s="333"/>
      <c r="F271" s="322">
        <v>0.05</v>
      </c>
      <c r="G271" s="339"/>
    </row>
    <row r="272" spans="1:7">
      <c r="A272" s="332" t="s">
        <v>284</v>
      </c>
      <c r="B272" s="321" t="s">
        <v>2527</v>
      </c>
      <c r="C272" s="333"/>
      <c r="D272" s="333"/>
      <c r="E272" s="333"/>
      <c r="F272" s="322">
        <v>0.05</v>
      </c>
      <c r="G272" s="339"/>
    </row>
    <row r="273" spans="1:7">
      <c r="A273" s="332" t="s">
        <v>284</v>
      </c>
      <c r="B273" s="321" t="s">
        <v>2532</v>
      </c>
      <c r="C273" s="333"/>
      <c r="D273" s="333"/>
      <c r="E273" s="333"/>
      <c r="F273" s="322">
        <v>0.05</v>
      </c>
      <c r="G273" s="339"/>
    </row>
    <row r="274" spans="1:7">
      <c r="A274" s="332" t="s">
        <v>284</v>
      </c>
      <c r="B274" s="321" t="s">
        <v>2536</v>
      </c>
      <c r="C274" s="333"/>
      <c r="D274" s="333"/>
      <c r="E274" s="333"/>
      <c r="F274" s="322">
        <v>0.05</v>
      </c>
      <c r="G274" s="339"/>
    </row>
    <row r="275" spans="1:7">
      <c r="A275" s="332" t="s">
        <v>284</v>
      </c>
      <c r="B275" s="321" t="s">
        <v>2540</v>
      </c>
      <c r="C275" s="333"/>
      <c r="D275" s="333"/>
      <c r="E275" s="333"/>
      <c r="F275" s="322">
        <v>0.05</v>
      </c>
      <c r="G275" s="339"/>
    </row>
    <row r="276" ht="14.75" spans="1:7">
      <c r="A276" s="335" t="s">
        <v>284</v>
      </c>
      <c r="B276" s="325" t="s">
        <v>2544</v>
      </c>
      <c r="C276" s="327"/>
      <c r="D276" s="327"/>
      <c r="E276" s="327"/>
      <c r="F276" s="326">
        <v>0.05</v>
      </c>
      <c r="G276" s="340"/>
    </row>
    <row r="277" spans="1:7">
      <c r="A277" s="331" t="s">
        <v>288</v>
      </c>
      <c r="B277" s="317" t="s">
        <v>2199</v>
      </c>
      <c r="C277" s="318">
        <v>0.15</v>
      </c>
      <c r="D277" s="318">
        <v>0.15</v>
      </c>
      <c r="E277" s="318">
        <v>0.15</v>
      </c>
      <c r="F277" s="318">
        <v>0.15</v>
      </c>
      <c r="G277" s="319">
        <v>0.15</v>
      </c>
    </row>
    <row r="278" spans="1:7">
      <c r="A278" s="332" t="s">
        <v>288</v>
      </c>
      <c r="B278" s="321" t="s">
        <v>2212</v>
      </c>
      <c r="C278" s="322">
        <v>0.15</v>
      </c>
      <c r="D278" s="322">
        <v>0.15</v>
      </c>
      <c r="E278" s="322">
        <v>0.15</v>
      </c>
      <c r="F278" s="322">
        <v>0.15</v>
      </c>
      <c r="G278" s="323">
        <v>0.15</v>
      </c>
    </row>
    <row r="279" spans="1:7">
      <c r="A279" s="332" t="s">
        <v>288</v>
      </c>
      <c r="B279" s="321" t="s">
        <v>2226</v>
      </c>
      <c r="C279" s="322">
        <v>0.15</v>
      </c>
      <c r="D279" s="322">
        <v>0.15</v>
      </c>
      <c r="E279" s="322">
        <v>0.15</v>
      </c>
      <c r="F279" s="322">
        <v>0.15</v>
      </c>
      <c r="G279" s="323">
        <v>0.15</v>
      </c>
    </row>
    <row r="280" spans="1:7">
      <c r="A280" s="332" t="s">
        <v>288</v>
      </c>
      <c r="B280" s="321" t="s">
        <v>2238</v>
      </c>
      <c r="C280" s="322">
        <v>0.15</v>
      </c>
      <c r="D280" s="322">
        <v>0.15</v>
      </c>
      <c r="E280" s="322">
        <v>0.15</v>
      </c>
      <c r="F280" s="322">
        <v>0.15</v>
      </c>
      <c r="G280" s="323">
        <v>0.15</v>
      </c>
    </row>
    <row r="281" spans="1:7">
      <c r="A281" s="332" t="s">
        <v>288</v>
      </c>
      <c r="B281" s="321" t="s">
        <v>2250</v>
      </c>
      <c r="C281" s="322">
        <v>0.15</v>
      </c>
      <c r="D281" s="322">
        <v>0.15</v>
      </c>
      <c r="E281" s="322">
        <v>0.15</v>
      </c>
      <c r="F281" s="322">
        <v>0.15</v>
      </c>
      <c r="G281" s="323">
        <v>0.15</v>
      </c>
    </row>
    <row r="282" spans="1:7">
      <c r="A282" s="332" t="s">
        <v>288</v>
      </c>
      <c r="B282" s="321" t="s">
        <v>2261</v>
      </c>
      <c r="C282" s="322">
        <v>0.15</v>
      </c>
      <c r="D282" s="322">
        <v>0.15</v>
      </c>
      <c r="E282" s="322">
        <v>0.15</v>
      </c>
      <c r="F282" s="322">
        <v>0.145</v>
      </c>
      <c r="G282" s="323">
        <v>0.15</v>
      </c>
    </row>
    <row r="283" spans="1:7">
      <c r="A283" s="332" t="s">
        <v>288</v>
      </c>
      <c r="B283" s="321" t="s">
        <v>2272</v>
      </c>
      <c r="C283" s="322">
        <v>0.15</v>
      </c>
      <c r="D283" s="322">
        <v>0.15</v>
      </c>
      <c r="E283" s="322">
        <v>0.15</v>
      </c>
      <c r="F283" s="322">
        <v>0.142</v>
      </c>
      <c r="G283" s="323">
        <v>0.15</v>
      </c>
    </row>
    <row r="284" spans="1:7">
      <c r="A284" s="332" t="s">
        <v>288</v>
      </c>
      <c r="B284" s="321" t="s">
        <v>2283</v>
      </c>
      <c r="C284" s="322">
        <v>0.15</v>
      </c>
      <c r="D284" s="322">
        <v>0.15</v>
      </c>
      <c r="E284" s="322">
        <v>0.15</v>
      </c>
      <c r="F284" s="322">
        <v>0.15</v>
      </c>
      <c r="G284" s="323">
        <v>0.15</v>
      </c>
    </row>
    <row r="285" spans="1:7">
      <c r="A285" s="332" t="s">
        <v>288</v>
      </c>
      <c r="B285" s="321" t="s">
        <v>2293</v>
      </c>
      <c r="C285" s="322">
        <v>0.15</v>
      </c>
      <c r="D285" s="322">
        <v>0.15</v>
      </c>
      <c r="E285" s="322">
        <v>0.15</v>
      </c>
      <c r="F285" s="322">
        <v>0.15</v>
      </c>
      <c r="G285" s="323">
        <v>0.15</v>
      </c>
    </row>
    <row r="286" spans="1:7">
      <c r="A286" s="332" t="s">
        <v>288</v>
      </c>
      <c r="B286" s="321" t="s">
        <v>2303</v>
      </c>
      <c r="C286" s="322">
        <v>0.145</v>
      </c>
      <c r="D286" s="322">
        <v>0.145</v>
      </c>
      <c r="E286" s="322">
        <v>0.15</v>
      </c>
      <c r="F286" s="322">
        <v>0.141</v>
      </c>
      <c r="G286" s="323">
        <v>0.145</v>
      </c>
    </row>
    <row r="287" spans="1:7">
      <c r="A287" s="332" t="s">
        <v>288</v>
      </c>
      <c r="B287" s="321" t="s">
        <v>2313</v>
      </c>
      <c r="C287" s="322">
        <v>0.11</v>
      </c>
      <c r="D287" s="322">
        <v>0.111</v>
      </c>
      <c r="E287" s="322">
        <v>0.141</v>
      </c>
      <c r="F287" s="322">
        <v>0.11</v>
      </c>
      <c r="G287" s="323">
        <v>0.12</v>
      </c>
    </row>
    <row r="288" spans="1:7">
      <c r="A288" s="332" t="s">
        <v>288</v>
      </c>
      <c r="B288" s="321" t="s">
        <v>2323</v>
      </c>
      <c r="C288" s="322">
        <v>0.142</v>
      </c>
      <c r="D288" s="322">
        <v>0.143</v>
      </c>
      <c r="E288" s="322">
        <v>0.15</v>
      </c>
      <c r="F288" s="322">
        <v>0.142</v>
      </c>
      <c r="G288" s="323">
        <v>0.144</v>
      </c>
    </row>
    <row r="289" spans="1:7">
      <c r="A289" s="332" t="s">
        <v>288</v>
      </c>
      <c r="B289" s="321" t="s">
        <v>2333</v>
      </c>
      <c r="C289" s="322">
        <v>0.143</v>
      </c>
      <c r="D289" s="322">
        <v>0.143</v>
      </c>
      <c r="E289" s="322">
        <v>0.148</v>
      </c>
      <c r="F289" s="322">
        <v>0.144</v>
      </c>
      <c r="G289" s="323">
        <v>0.144</v>
      </c>
    </row>
    <row r="290" spans="1:7">
      <c r="A290" s="332" t="s">
        <v>288</v>
      </c>
      <c r="B290" s="321" t="s">
        <v>2343</v>
      </c>
      <c r="C290" s="322">
        <v>0.148</v>
      </c>
      <c r="D290" s="322">
        <v>0.149</v>
      </c>
      <c r="E290" s="322">
        <v>0.15</v>
      </c>
      <c r="F290" s="322">
        <v>0.127</v>
      </c>
      <c r="G290" s="323">
        <v>0.15</v>
      </c>
    </row>
    <row r="291" spans="1:7">
      <c r="A291" s="332" t="s">
        <v>288</v>
      </c>
      <c r="B291" s="321" t="s">
        <v>2353</v>
      </c>
      <c r="C291" s="322">
        <v>0.15</v>
      </c>
      <c r="D291" s="322">
        <v>0.15</v>
      </c>
      <c r="E291" s="322">
        <v>0.15</v>
      </c>
      <c r="F291" s="322">
        <v>0.149</v>
      </c>
      <c r="G291" s="323">
        <v>0.15</v>
      </c>
    </row>
    <row r="292" spans="1:7">
      <c r="A292" s="332" t="s">
        <v>288</v>
      </c>
      <c r="B292" s="321" t="s">
        <v>2363</v>
      </c>
      <c r="C292" s="322">
        <v>0.15</v>
      </c>
      <c r="D292" s="322">
        <v>0.15</v>
      </c>
      <c r="E292" s="322">
        <v>0.15</v>
      </c>
      <c r="F292" s="322">
        <v>0.144</v>
      </c>
      <c r="G292" s="323">
        <v>0.15</v>
      </c>
    </row>
    <row r="293" spans="1:7">
      <c r="A293" s="332" t="s">
        <v>288</v>
      </c>
      <c r="B293" s="321" t="s">
        <v>2373</v>
      </c>
      <c r="C293" s="322">
        <v>0.15</v>
      </c>
      <c r="D293" s="322">
        <v>0.15</v>
      </c>
      <c r="E293" s="322">
        <v>0.15</v>
      </c>
      <c r="F293" s="322">
        <v>0.145</v>
      </c>
      <c r="G293" s="323">
        <v>0.15</v>
      </c>
    </row>
    <row r="294" spans="1:7">
      <c r="A294" s="332" t="s">
        <v>288</v>
      </c>
      <c r="B294" s="321" t="s">
        <v>2383</v>
      </c>
      <c r="C294" s="322">
        <v>0.15</v>
      </c>
      <c r="D294" s="322">
        <v>0.15</v>
      </c>
      <c r="E294" s="322">
        <v>0.15</v>
      </c>
      <c r="F294" s="322">
        <v>0.149</v>
      </c>
      <c r="G294" s="323">
        <v>0.15</v>
      </c>
    </row>
    <row r="295" spans="1:7">
      <c r="A295" s="332" t="s">
        <v>288</v>
      </c>
      <c r="B295" s="321" t="s">
        <v>2393</v>
      </c>
      <c r="C295" s="322">
        <v>0.15</v>
      </c>
      <c r="D295" s="322">
        <v>0.15</v>
      </c>
      <c r="E295" s="322">
        <v>0.15</v>
      </c>
      <c r="F295" s="322">
        <v>0.148</v>
      </c>
      <c r="G295" s="323">
        <v>0.15</v>
      </c>
    </row>
    <row r="296" spans="1:7">
      <c r="A296" s="332" t="s">
        <v>288</v>
      </c>
      <c r="B296" s="321" t="s">
        <v>2403</v>
      </c>
      <c r="C296" s="322">
        <v>0.15</v>
      </c>
      <c r="D296" s="322">
        <v>0.15</v>
      </c>
      <c r="E296" s="322">
        <v>0.15</v>
      </c>
      <c r="F296" s="322">
        <v>0.144</v>
      </c>
      <c r="G296" s="323">
        <v>0.15</v>
      </c>
    </row>
    <row r="297" spans="1:7">
      <c r="A297" s="332" t="s">
        <v>288</v>
      </c>
      <c r="B297" s="321" t="s">
        <v>2412</v>
      </c>
      <c r="C297" s="322">
        <v>0.15</v>
      </c>
      <c r="D297" s="322">
        <v>0.15</v>
      </c>
      <c r="E297" s="322">
        <v>0.15</v>
      </c>
      <c r="F297" s="322">
        <v>0.145</v>
      </c>
      <c r="G297" s="323">
        <v>0.15</v>
      </c>
    </row>
    <row r="298" spans="1:7">
      <c r="A298" s="332" t="s">
        <v>288</v>
      </c>
      <c r="B298" s="321" t="s">
        <v>2420</v>
      </c>
      <c r="C298" s="322">
        <v>0.15</v>
      </c>
      <c r="D298" s="322">
        <v>0.15</v>
      </c>
      <c r="E298" s="322">
        <v>0.15</v>
      </c>
      <c r="F298" s="322">
        <v>0.15</v>
      </c>
      <c r="G298" s="323">
        <v>0.15</v>
      </c>
    </row>
    <row r="299" spans="1:7">
      <c r="A299" s="332" t="s">
        <v>288</v>
      </c>
      <c r="B299" s="341" t="s">
        <v>2428</v>
      </c>
      <c r="C299" s="322">
        <v>0.15</v>
      </c>
      <c r="D299" s="322">
        <v>0.15</v>
      </c>
      <c r="E299" s="322">
        <v>0.15</v>
      </c>
      <c r="F299" s="322">
        <v>0.145</v>
      </c>
      <c r="G299" s="323">
        <v>0.15</v>
      </c>
    </row>
    <row r="300" spans="1:7">
      <c r="A300" s="332" t="s">
        <v>288</v>
      </c>
      <c r="B300" s="341" t="s">
        <v>2436</v>
      </c>
      <c r="C300" s="322">
        <v>0.15</v>
      </c>
      <c r="D300" s="322">
        <v>0.15</v>
      </c>
      <c r="E300" s="322">
        <v>0.15</v>
      </c>
      <c r="F300" s="322">
        <v>0.146</v>
      </c>
      <c r="G300" s="323">
        <v>0.15</v>
      </c>
    </row>
    <row r="301" spans="1:7">
      <c r="A301" s="332" t="s">
        <v>288</v>
      </c>
      <c r="B301" s="341" t="s">
        <v>2444</v>
      </c>
      <c r="C301" s="322">
        <v>0.126</v>
      </c>
      <c r="D301" s="322">
        <v>0.124</v>
      </c>
      <c r="E301" s="322">
        <v>0.141</v>
      </c>
      <c r="F301" s="322">
        <v>0.144</v>
      </c>
      <c r="G301" s="323">
        <v>0.13</v>
      </c>
    </row>
    <row r="302" spans="1:7">
      <c r="A302" s="332" t="s">
        <v>288</v>
      </c>
      <c r="B302" s="321" t="s">
        <v>2451</v>
      </c>
      <c r="C302" s="322">
        <v>0.15</v>
      </c>
      <c r="D302" s="322">
        <v>0.15</v>
      </c>
      <c r="E302" s="322">
        <v>0.15</v>
      </c>
      <c r="F302" s="322">
        <v>0.147</v>
      </c>
      <c r="G302" s="323">
        <v>0.15</v>
      </c>
    </row>
    <row r="303" spans="1:7">
      <c r="A303" s="332" t="s">
        <v>288</v>
      </c>
      <c r="B303" s="321" t="s">
        <v>2458</v>
      </c>
      <c r="C303" s="322">
        <v>0.15</v>
      </c>
      <c r="D303" s="322">
        <v>0.15</v>
      </c>
      <c r="E303" s="322">
        <v>0.15</v>
      </c>
      <c r="F303" s="322">
        <v>0.142</v>
      </c>
      <c r="G303" s="323">
        <v>0.15</v>
      </c>
    </row>
    <row r="304" spans="1:7">
      <c r="A304" s="332" t="s">
        <v>288</v>
      </c>
      <c r="B304" s="321" t="s">
        <v>2465</v>
      </c>
      <c r="C304" s="322">
        <v>0.15</v>
      </c>
      <c r="D304" s="322">
        <v>0.15</v>
      </c>
      <c r="E304" s="322">
        <v>0.15</v>
      </c>
      <c r="F304" s="322">
        <v>0.145</v>
      </c>
      <c r="G304" s="323">
        <v>0.15</v>
      </c>
    </row>
    <row r="305" spans="1:7">
      <c r="A305" s="332" t="s">
        <v>288</v>
      </c>
      <c r="B305" s="321" t="s">
        <v>2472</v>
      </c>
      <c r="C305" s="322">
        <v>0.15</v>
      </c>
      <c r="D305" s="322">
        <v>0.15</v>
      </c>
      <c r="E305" s="322">
        <v>0.15</v>
      </c>
      <c r="F305" s="322">
        <v>0.111</v>
      </c>
      <c r="G305" s="323">
        <v>0.15</v>
      </c>
    </row>
    <row r="306" spans="1:7">
      <c r="A306" s="332" t="s">
        <v>288</v>
      </c>
      <c r="B306" s="321" t="s">
        <v>2479</v>
      </c>
      <c r="C306" s="322">
        <v>0.15</v>
      </c>
      <c r="D306" s="322">
        <v>0.15</v>
      </c>
      <c r="E306" s="322">
        <v>0.15</v>
      </c>
      <c r="F306" s="322">
        <v>0.126</v>
      </c>
      <c r="G306" s="323">
        <v>0.15</v>
      </c>
    </row>
    <row r="307" spans="1:7">
      <c r="A307" s="332" t="s">
        <v>288</v>
      </c>
      <c r="B307" s="321" t="s">
        <v>2486</v>
      </c>
      <c r="C307" s="322">
        <v>0.15</v>
      </c>
      <c r="D307" s="322">
        <v>0.15</v>
      </c>
      <c r="E307" s="322">
        <v>0.15</v>
      </c>
      <c r="F307" s="322">
        <v>0.12</v>
      </c>
      <c r="G307" s="323">
        <v>0.15</v>
      </c>
    </row>
    <row r="308" spans="1:7">
      <c r="A308" s="332" t="s">
        <v>288</v>
      </c>
      <c r="B308" s="321" t="s">
        <v>2493</v>
      </c>
      <c r="C308" s="322">
        <v>0.15</v>
      </c>
      <c r="D308" s="322">
        <v>0.15</v>
      </c>
      <c r="E308" s="322">
        <v>0.15</v>
      </c>
      <c r="F308" s="322">
        <v>0.13</v>
      </c>
      <c r="G308" s="323">
        <v>0.15</v>
      </c>
    </row>
    <row r="309" spans="1:7">
      <c r="A309" s="332" t="s">
        <v>288</v>
      </c>
      <c r="B309" s="321" t="s">
        <v>2498</v>
      </c>
      <c r="C309" s="322">
        <v>0.15</v>
      </c>
      <c r="D309" s="322">
        <v>0.15</v>
      </c>
      <c r="E309" s="322">
        <v>0.15</v>
      </c>
      <c r="F309" s="322">
        <v>0.141</v>
      </c>
      <c r="G309" s="323">
        <v>0.15</v>
      </c>
    </row>
    <row r="310" spans="1:7">
      <c r="A310" s="332" t="s">
        <v>288</v>
      </c>
      <c r="B310" s="321" t="s">
        <v>2503</v>
      </c>
      <c r="C310" s="322">
        <v>0.15</v>
      </c>
      <c r="D310" s="322">
        <v>0.15</v>
      </c>
      <c r="E310" s="322">
        <v>0.15</v>
      </c>
      <c r="F310" s="322">
        <v>0.15</v>
      </c>
      <c r="G310" s="323">
        <v>0.15</v>
      </c>
    </row>
    <row r="311" spans="1:7">
      <c r="A311" s="332" t="s">
        <v>288</v>
      </c>
      <c r="B311" s="321" t="s">
        <v>2508</v>
      </c>
      <c r="C311" s="322">
        <v>0.132</v>
      </c>
      <c r="D311" s="322">
        <v>0.133</v>
      </c>
      <c r="E311" s="322">
        <v>0.145</v>
      </c>
      <c r="F311" s="322">
        <v>0.142</v>
      </c>
      <c r="G311" s="323">
        <v>0.14</v>
      </c>
    </row>
    <row r="312" spans="1:7">
      <c r="A312" s="332" t="s">
        <v>288</v>
      </c>
      <c r="B312" s="321" t="s">
        <v>2513</v>
      </c>
      <c r="C312" s="322">
        <v>0.138</v>
      </c>
      <c r="D312" s="322">
        <v>0.14</v>
      </c>
      <c r="E312" s="322">
        <v>0.146</v>
      </c>
      <c r="F312" s="322">
        <v>0.149</v>
      </c>
      <c r="G312" s="323">
        <v>0.142</v>
      </c>
    </row>
    <row r="313" spans="1:7">
      <c r="A313" s="332" t="s">
        <v>288</v>
      </c>
      <c r="B313" s="321" t="s">
        <v>2518</v>
      </c>
      <c r="C313" s="322">
        <v>0.125</v>
      </c>
      <c r="D313" s="322">
        <v>0.127</v>
      </c>
      <c r="E313" s="322">
        <v>0.144</v>
      </c>
      <c r="F313" s="322">
        <v>0.115</v>
      </c>
      <c r="G313" s="323">
        <v>0.136</v>
      </c>
    </row>
    <row r="314" spans="1:7">
      <c r="A314" s="332" t="s">
        <v>288</v>
      </c>
      <c r="B314" s="321" t="s">
        <v>2523</v>
      </c>
      <c r="C314" s="338"/>
      <c r="D314" s="338"/>
      <c r="E314" s="338"/>
      <c r="F314" s="322">
        <v>0.05</v>
      </c>
      <c r="G314" s="339"/>
    </row>
    <row r="315" spans="1:7">
      <c r="A315" s="332" t="s">
        <v>288</v>
      </c>
      <c r="B315" s="321" t="s">
        <v>2528</v>
      </c>
      <c r="C315" s="338"/>
      <c r="D315" s="338"/>
      <c r="E315" s="338"/>
      <c r="F315" s="322">
        <v>0.05</v>
      </c>
      <c r="G315" s="339"/>
    </row>
    <row r="316" spans="1:7">
      <c r="A316" s="332" t="s">
        <v>288</v>
      </c>
      <c r="B316" s="321" t="s">
        <v>2533</v>
      </c>
      <c r="C316" s="333"/>
      <c r="D316" s="333"/>
      <c r="E316" s="333"/>
      <c r="F316" s="322">
        <v>0.05</v>
      </c>
      <c r="G316" s="339"/>
    </row>
    <row r="317" spans="1:7">
      <c r="A317" s="332" t="s">
        <v>288</v>
      </c>
      <c r="B317" s="321" t="s">
        <v>2537</v>
      </c>
      <c r="C317" s="333"/>
      <c r="D317" s="333"/>
      <c r="E317" s="333"/>
      <c r="F317" s="322">
        <v>0.05</v>
      </c>
      <c r="G317" s="339"/>
    </row>
    <row r="318" spans="1:7">
      <c r="A318" s="332" t="s">
        <v>288</v>
      </c>
      <c r="B318" s="321" t="s">
        <v>2541</v>
      </c>
      <c r="C318" s="333"/>
      <c r="D318" s="333"/>
      <c r="E318" s="333"/>
      <c r="F318" s="322">
        <v>0.05</v>
      </c>
      <c r="G318" s="339"/>
    </row>
    <row r="319" spans="1:7">
      <c r="A319" s="332" t="s">
        <v>288</v>
      </c>
      <c r="B319" s="321" t="s">
        <v>2545</v>
      </c>
      <c r="C319" s="333"/>
      <c r="D319" s="333"/>
      <c r="E319" s="333"/>
      <c r="F319" s="322">
        <v>0.05</v>
      </c>
      <c r="G319" s="339"/>
    </row>
    <row r="320" spans="1:7">
      <c r="A320" s="332" t="s">
        <v>288</v>
      </c>
      <c r="B320" s="321" t="s">
        <v>2548</v>
      </c>
      <c r="C320" s="333"/>
      <c r="D320" s="333"/>
      <c r="E320" s="333"/>
      <c r="F320" s="322">
        <v>0.05</v>
      </c>
      <c r="G320" s="339"/>
    </row>
    <row r="321" spans="1:7">
      <c r="A321" s="332" t="s">
        <v>288</v>
      </c>
      <c r="B321" s="321" t="s">
        <v>2550</v>
      </c>
      <c r="C321" s="333"/>
      <c r="D321" s="333"/>
      <c r="E321" s="333"/>
      <c r="F321" s="322">
        <v>0.05</v>
      </c>
      <c r="G321" s="339"/>
    </row>
    <row r="322" spans="1:7">
      <c r="A322" s="332" t="s">
        <v>288</v>
      </c>
      <c r="B322" s="321" t="s">
        <v>2552</v>
      </c>
      <c r="C322" s="333"/>
      <c r="D322" s="333"/>
      <c r="E322" s="333"/>
      <c r="F322" s="322">
        <v>0.05</v>
      </c>
      <c r="G322" s="339"/>
    </row>
    <row r="323" spans="1:7">
      <c r="A323" s="332" t="s">
        <v>288</v>
      </c>
      <c r="B323" s="321" t="s">
        <v>2554</v>
      </c>
      <c r="C323" s="333"/>
      <c r="D323" s="333"/>
      <c r="E323" s="333"/>
      <c r="F323" s="322">
        <v>0.05</v>
      </c>
      <c r="G323" s="339"/>
    </row>
    <row r="324" spans="1:7">
      <c r="A324" s="332" t="s">
        <v>288</v>
      </c>
      <c r="B324" s="321" t="s">
        <v>2556</v>
      </c>
      <c r="C324" s="333"/>
      <c r="D324" s="333"/>
      <c r="E324" s="333"/>
      <c r="F324" s="322">
        <v>0.05</v>
      </c>
      <c r="G324" s="339"/>
    </row>
    <row r="325" spans="1:7">
      <c r="A325" s="332" t="s">
        <v>288</v>
      </c>
      <c r="B325" s="321" t="s">
        <v>2558</v>
      </c>
      <c r="C325" s="333"/>
      <c r="D325" s="333"/>
      <c r="E325" s="333"/>
      <c r="F325" s="322">
        <v>0.05</v>
      </c>
      <c r="G325" s="339"/>
    </row>
    <row r="326" ht="14.75" spans="1:7">
      <c r="A326" s="335" t="s">
        <v>288</v>
      </c>
      <c r="B326" s="325" t="s">
        <v>2560</v>
      </c>
      <c r="C326" s="327"/>
      <c r="D326" s="327"/>
      <c r="E326" s="327"/>
      <c r="F326" s="326">
        <v>0.05</v>
      </c>
      <c r="G326" s="340"/>
    </row>
    <row r="327" spans="1:7">
      <c r="A327" s="331" t="s">
        <v>292</v>
      </c>
      <c r="B327" s="317" t="s">
        <v>2200</v>
      </c>
      <c r="C327" s="318">
        <v>0.15</v>
      </c>
      <c r="D327" s="318">
        <v>0.15</v>
      </c>
      <c r="E327" s="318">
        <v>0.15</v>
      </c>
      <c r="F327" s="318">
        <v>0.15</v>
      </c>
      <c r="G327" s="319">
        <v>0.15</v>
      </c>
    </row>
    <row r="328" spans="1:7">
      <c r="A328" s="332" t="s">
        <v>292</v>
      </c>
      <c r="B328" s="321" t="s">
        <v>2213</v>
      </c>
      <c r="C328" s="322">
        <v>0.15</v>
      </c>
      <c r="D328" s="322">
        <v>0.15</v>
      </c>
      <c r="E328" s="322">
        <v>0.15</v>
      </c>
      <c r="F328" s="322">
        <v>0.126</v>
      </c>
      <c r="G328" s="323">
        <v>0.15</v>
      </c>
    </row>
    <row r="329" spans="1:7">
      <c r="A329" s="332" t="s">
        <v>292</v>
      </c>
      <c r="B329" s="321" t="s">
        <v>2227</v>
      </c>
      <c r="C329" s="322">
        <v>0.15</v>
      </c>
      <c r="D329" s="322">
        <v>0.15</v>
      </c>
      <c r="E329" s="322">
        <v>0.15</v>
      </c>
      <c r="F329" s="322">
        <v>0.15</v>
      </c>
      <c r="G329" s="323">
        <v>0.15</v>
      </c>
    </row>
    <row r="330" spans="1:7">
      <c r="A330" s="332" t="s">
        <v>292</v>
      </c>
      <c r="B330" s="321" t="s">
        <v>2239</v>
      </c>
      <c r="C330" s="322">
        <v>0.15</v>
      </c>
      <c r="D330" s="322">
        <v>0.15</v>
      </c>
      <c r="E330" s="322">
        <v>0.15</v>
      </c>
      <c r="F330" s="322">
        <v>0.15</v>
      </c>
      <c r="G330" s="323">
        <v>0.15</v>
      </c>
    </row>
    <row r="331" spans="1:7">
      <c r="A331" s="332" t="s">
        <v>292</v>
      </c>
      <c r="B331" s="321" t="s">
        <v>2251</v>
      </c>
      <c r="C331" s="322">
        <v>0.15</v>
      </c>
      <c r="D331" s="322">
        <v>0.15</v>
      </c>
      <c r="E331" s="322">
        <v>0.15</v>
      </c>
      <c r="F331" s="322">
        <v>0.15</v>
      </c>
      <c r="G331" s="323">
        <v>0.15</v>
      </c>
    </row>
    <row r="332" spans="1:7">
      <c r="A332" s="332" t="s">
        <v>292</v>
      </c>
      <c r="B332" s="321" t="s">
        <v>2262</v>
      </c>
      <c r="C332" s="322">
        <v>0.15</v>
      </c>
      <c r="D332" s="322">
        <v>0.15</v>
      </c>
      <c r="E332" s="322">
        <v>0.15</v>
      </c>
      <c r="F332" s="322">
        <v>0.15</v>
      </c>
      <c r="G332" s="323">
        <v>0.15</v>
      </c>
    </row>
    <row r="333" spans="1:7">
      <c r="A333" s="332" t="s">
        <v>292</v>
      </c>
      <c r="B333" s="321" t="s">
        <v>2273</v>
      </c>
      <c r="C333" s="322">
        <v>0.149</v>
      </c>
      <c r="D333" s="322">
        <v>0.149</v>
      </c>
      <c r="E333" s="322">
        <v>0.15</v>
      </c>
      <c r="F333" s="322">
        <v>0.116</v>
      </c>
      <c r="G333" s="323">
        <v>0.15</v>
      </c>
    </row>
    <row r="334" spans="1:7">
      <c r="A334" s="332" t="s">
        <v>292</v>
      </c>
      <c r="B334" s="321" t="s">
        <v>2284</v>
      </c>
      <c r="C334" s="322">
        <v>0.15</v>
      </c>
      <c r="D334" s="322">
        <v>0.15</v>
      </c>
      <c r="E334" s="322">
        <v>0.15</v>
      </c>
      <c r="F334" s="322">
        <v>0.13</v>
      </c>
      <c r="G334" s="323">
        <v>0.15</v>
      </c>
    </row>
    <row r="335" spans="1:7">
      <c r="A335" s="332" t="s">
        <v>292</v>
      </c>
      <c r="B335" s="321" t="s">
        <v>2294</v>
      </c>
      <c r="C335" s="322">
        <v>0.15</v>
      </c>
      <c r="D335" s="322">
        <v>0.15</v>
      </c>
      <c r="E335" s="322">
        <v>0.15</v>
      </c>
      <c r="F335" s="322">
        <v>0.144</v>
      </c>
      <c r="G335" s="323">
        <v>0.15</v>
      </c>
    </row>
    <row r="336" spans="1:7">
      <c r="A336" s="332" t="s">
        <v>292</v>
      </c>
      <c r="B336" s="321" t="s">
        <v>2304</v>
      </c>
      <c r="C336" s="322">
        <v>0.15</v>
      </c>
      <c r="D336" s="322">
        <v>0.15</v>
      </c>
      <c r="E336" s="322">
        <v>0.15</v>
      </c>
      <c r="F336" s="322">
        <v>0.142</v>
      </c>
      <c r="G336" s="323">
        <v>0.15</v>
      </c>
    </row>
    <row r="337" spans="1:7">
      <c r="A337" s="332" t="s">
        <v>292</v>
      </c>
      <c r="B337" s="321" t="s">
        <v>2314</v>
      </c>
      <c r="C337" s="322">
        <v>0.15</v>
      </c>
      <c r="D337" s="322">
        <v>0.15</v>
      </c>
      <c r="E337" s="322">
        <v>0.15</v>
      </c>
      <c r="F337" s="322">
        <v>0.145</v>
      </c>
      <c r="G337" s="323">
        <v>0.15</v>
      </c>
    </row>
    <row r="338" spans="1:7">
      <c r="A338" s="332" t="s">
        <v>292</v>
      </c>
      <c r="B338" s="321" t="s">
        <v>2324</v>
      </c>
      <c r="C338" s="322">
        <v>0.15</v>
      </c>
      <c r="D338" s="322">
        <v>0.15</v>
      </c>
      <c r="E338" s="322">
        <v>0.15</v>
      </c>
      <c r="F338" s="322">
        <v>0.15</v>
      </c>
      <c r="G338" s="323">
        <v>0.15</v>
      </c>
    </row>
    <row r="339" spans="1:7">
      <c r="A339" s="332" t="s">
        <v>292</v>
      </c>
      <c r="B339" s="321" t="s">
        <v>2334</v>
      </c>
      <c r="C339" s="322">
        <v>0.15</v>
      </c>
      <c r="D339" s="322">
        <v>0.15</v>
      </c>
      <c r="E339" s="322">
        <v>0.15</v>
      </c>
      <c r="F339" s="322">
        <v>0.147</v>
      </c>
      <c r="G339" s="323">
        <v>0.15</v>
      </c>
    </row>
    <row r="340" spans="1:7">
      <c r="A340" s="332" t="s">
        <v>292</v>
      </c>
      <c r="B340" s="321" t="s">
        <v>2344</v>
      </c>
      <c r="C340" s="322">
        <v>0.146</v>
      </c>
      <c r="D340" s="322">
        <v>0.146</v>
      </c>
      <c r="E340" s="322">
        <v>0.15</v>
      </c>
      <c r="F340" s="322">
        <v>0.141</v>
      </c>
      <c r="G340" s="323">
        <v>0.147</v>
      </c>
    </row>
    <row r="341" spans="1:7">
      <c r="A341" s="332" t="s">
        <v>292</v>
      </c>
      <c r="B341" s="321" t="s">
        <v>2354</v>
      </c>
      <c r="C341" s="322">
        <v>0.126</v>
      </c>
      <c r="D341" s="322">
        <v>0.124</v>
      </c>
      <c r="E341" s="322">
        <v>0.141</v>
      </c>
      <c r="F341" s="322">
        <v>0.144</v>
      </c>
      <c r="G341" s="323">
        <v>0.13</v>
      </c>
    </row>
    <row r="342" spans="1:7">
      <c r="A342" s="332" t="s">
        <v>292</v>
      </c>
      <c r="B342" s="321" t="s">
        <v>2364</v>
      </c>
      <c r="C342" s="322">
        <v>0.15</v>
      </c>
      <c r="D342" s="322">
        <v>0.15</v>
      </c>
      <c r="E342" s="322">
        <v>0.15</v>
      </c>
      <c r="F342" s="322">
        <v>0.144</v>
      </c>
      <c r="G342" s="323">
        <v>0.15</v>
      </c>
    </row>
    <row r="343" spans="1:7">
      <c r="A343" s="332" t="s">
        <v>292</v>
      </c>
      <c r="B343" s="321" t="s">
        <v>2374</v>
      </c>
      <c r="C343" s="322">
        <v>0.15</v>
      </c>
      <c r="D343" s="322">
        <v>0.15</v>
      </c>
      <c r="E343" s="322">
        <v>0.15</v>
      </c>
      <c r="F343" s="322">
        <v>0.128</v>
      </c>
      <c r="G343" s="323">
        <v>0.15</v>
      </c>
    </row>
    <row r="344" spans="1:7">
      <c r="A344" s="332" t="s">
        <v>292</v>
      </c>
      <c r="B344" s="321" t="s">
        <v>2384</v>
      </c>
      <c r="C344" s="322">
        <v>0.15</v>
      </c>
      <c r="D344" s="322">
        <v>0.15</v>
      </c>
      <c r="E344" s="322">
        <v>0.15</v>
      </c>
      <c r="F344" s="322">
        <v>0.148</v>
      </c>
      <c r="G344" s="323">
        <v>0.15</v>
      </c>
    </row>
    <row r="345" spans="1:7">
      <c r="A345" s="332" t="s">
        <v>292</v>
      </c>
      <c r="B345" s="321" t="s">
        <v>2394</v>
      </c>
      <c r="C345" s="322">
        <v>0.15</v>
      </c>
      <c r="D345" s="322">
        <v>0.15</v>
      </c>
      <c r="E345" s="322">
        <v>0.15</v>
      </c>
      <c r="F345" s="322">
        <v>0.138</v>
      </c>
      <c r="G345" s="323">
        <v>0.15</v>
      </c>
    </row>
    <row r="346" spans="1:7">
      <c r="A346" s="332" t="s">
        <v>292</v>
      </c>
      <c r="B346" s="321" t="s">
        <v>2404</v>
      </c>
      <c r="C346" s="322">
        <v>0.15</v>
      </c>
      <c r="D346" s="322">
        <v>0.15</v>
      </c>
      <c r="E346" s="322">
        <v>0.15</v>
      </c>
      <c r="F346" s="322">
        <v>0.144</v>
      </c>
      <c r="G346" s="323">
        <v>0.15</v>
      </c>
    </row>
    <row r="347" spans="1:7">
      <c r="A347" s="332" t="s">
        <v>292</v>
      </c>
      <c r="B347" s="321" t="s">
        <v>2413</v>
      </c>
      <c r="C347" s="322">
        <v>0.15</v>
      </c>
      <c r="D347" s="322">
        <v>0.15</v>
      </c>
      <c r="E347" s="322">
        <v>0.15</v>
      </c>
      <c r="F347" s="322">
        <v>0.146</v>
      </c>
      <c r="G347" s="323">
        <v>0.15</v>
      </c>
    </row>
    <row r="348" spans="1:7">
      <c r="A348" s="332" t="s">
        <v>292</v>
      </c>
      <c r="B348" s="321" t="s">
        <v>2421</v>
      </c>
      <c r="C348" s="322">
        <v>0.15</v>
      </c>
      <c r="D348" s="322">
        <v>0.15</v>
      </c>
      <c r="E348" s="322">
        <v>0.15</v>
      </c>
      <c r="F348" s="322">
        <v>0.144</v>
      </c>
      <c r="G348" s="323">
        <v>0.15</v>
      </c>
    </row>
    <row r="349" spans="1:7">
      <c r="A349" s="332" t="s">
        <v>292</v>
      </c>
      <c r="B349" s="321" t="s">
        <v>2429</v>
      </c>
      <c r="C349" s="322">
        <v>0.15</v>
      </c>
      <c r="D349" s="322">
        <v>0.15</v>
      </c>
      <c r="E349" s="322">
        <v>0.15</v>
      </c>
      <c r="F349" s="322">
        <v>0.15</v>
      </c>
      <c r="G349" s="323">
        <v>0.15</v>
      </c>
    </row>
    <row r="350" spans="1:7">
      <c r="A350" s="332" t="s">
        <v>292</v>
      </c>
      <c r="B350" s="321" t="s">
        <v>2437</v>
      </c>
      <c r="C350" s="322">
        <v>0.15</v>
      </c>
      <c r="D350" s="322">
        <v>0.15</v>
      </c>
      <c r="E350" s="322">
        <v>0.15</v>
      </c>
      <c r="F350" s="322">
        <v>0.147</v>
      </c>
      <c r="G350" s="323">
        <v>0.15</v>
      </c>
    </row>
    <row r="351" spans="1:7">
      <c r="A351" s="332" t="s">
        <v>292</v>
      </c>
      <c r="B351" s="321" t="s">
        <v>2445</v>
      </c>
      <c r="C351" s="322">
        <v>0.15</v>
      </c>
      <c r="D351" s="322">
        <v>0.15</v>
      </c>
      <c r="E351" s="322">
        <v>0.15</v>
      </c>
      <c r="F351" s="322">
        <v>0.13</v>
      </c>
      <c r="G351" s="323">
        <v>0.15</v>
      </c>
    </row>
    <row r="352" spans="1:7">
      <c r="A352" s="332" t="s">
        <v>292</v>
      </c>
      <c r="B352" s="321" t="s">
        <v>2452</v>
      </c>
      <c r="C352" s="322">
        <v>0.15</v>
      </c>
      <c r="D352" s="322">
        <v>0.15</v>
      </c>
      <c r="E352" s="322">
        <v>0.15</v>
      </c>
      <c r="F352" s="322">
        <v>0.146</v>
      </c>
      <c r="G352" s="323">
        <v>0.15</v>
      </c>
    </row>
    <row r="353" spans="1:7">
      <c r="A353" s="332" t="s">
        <v>292</v>
      </c>
      <c r="B353" s="321" t="s">
        <v>2459</v>
      </c>
      <c r="C353" s="322">
        <v>0.15</v>
      </c>
      <c r="D353" s="322">
        <v>0.15</v>
      </c>
      <c r="E353" s="322">
        <v>0.15</v>
      </c>
      <c r="F353" s="322">
        <v>0.145</v>
      </c>
      <c r="G353" s="323">
        <v>0.15</v>
      </c>
    </row>
    <row r="354" spans="1:7">
      <c r="A354" s="332" t="s">
        <v>292</v>
      </c>
      <c r="B354" s="321" t="s">
        <v>2466</v>
      </c>
      <c r="C354" s="322">
        <v>0.15</v>
      </c>
      <c r="D354" s="322">
        <v>0.15</v>
      </c>
      <c r="E354" s="322">
        <v>0.15</v>
      </c>
      <c r="F354" s="322">
        <v>0.141</v>
      </c>
      <c r="G354" s="323">
        <v>0.15</v>
      </c>
    </row>
    <row r="355" spans="1:7">
      <c r="A355" s="332" t="s">
        <v>292</v>
      </c>
      <c r="B355" s="321" t="s">
        <v>2473</v>
      </c>
      <c r="C355" s="322">
        <v>0.15</v>
      </c>
      <c r="D355" s="322">
        <v>0.15</v>
      </c>
      <c r="E355" s="322">
        <v>0.15</v>
      </c>
      <c r="F355" s="322">
        <v>0.15</v>
      </c>
      <c r="G355" s="323">
        <v>0.15</v>
      </c>
    </row>
    <row r="356" spans="1:7">
      <c r="A356" s="332" t="s">
        <v>292</v>
      </c>
      <c r="B356" s="321" t="s">
        <v>2480</v>
      </c>
      <c r="C356" s="322">
        <v>0.15</v>
      </c>
      <c r="D356" s="322">
        <v>0.15</v>
      </c>
      <c r="E356" s="322">
        <v>0.15</v>
      </c>
      <c r="F356" s="322">
        <v>0.15</v>
      </c>
      <c r="G356" s="323">
        <v>0.15</v>
      </c>
    </row>
    <row r="357" ht="14.75" spans="1:7">
      <c r="A357" s="335" t="s">
        <v>292</v>
      </c>
      <c r="B357" s="325" t="s">
        <v>2487</v>
      </c>
      <c r="C357" s="326">
        <v>0.126</v>
      </c>
      <c r="D357" s="326">
        <v>0.127</v>
      </c>
      <c r="E357" s="326">
        <v>0.143</v>
      </c>
      <c r="F357" s="326">
        <v>0.125</v>
      </c>
      <c r="G357" s="328">
        <v>0.129</v>
      </c>
    </row>
    <row r="358" spans="1:7">
      <c r="A358" s="331" t="s">
        <v>296</v>
      </c>
      <c r="B358" s="317" t="s">
        <v>2201</v>
      </c>
      <c r="C358" s="318">
        <v>0.15</v>
      </c>
      <c r="D358" s="318">
        <v>0.15</v>
      </c>
      <c r="E358" s="318">
        <v>0.15</v>
      </c>
      <c r="F358" s="318">
        <v>0.15</v>
      </c>
      <c r="G358" s="319">
        <v>0.15</v>
      </c>
    </row>
    <row r="359" spans="1:7">
      <c r="A359" s="332" t="s">
        <v>296</v>
      </c>
      <c r="B359" s="321" t="s">
        <v>2214</v>
      </c>
      <c r="C359" s="322">
        <v>0.1</v>
      </c>
      <c r="D359" s="322">
        <v>0.1</v>
      </c>
      <c r="E359" s="322">
        <v>0.1</v>
      </c>
      <c r="F359" s="322">
        <v>0.1</v>
      </c>
      <c r="G359" s="323">
        <v>0.1</v>
      </c>
    </row>
    <row r="360" spans="1:7">
      <c r="A360" s="332" t="s">
        <v>296</v>
      </c>
      <c r="B360" s="321" t="s">
        <v>2228</v>
      </c>
      <c r="C360" s="322">
        <v>0.15</v>
      </c>
      <c r="D360" s="322">
        <v>0.15</v>
      </c>
      <c r="E360" s="322">
        <v>0.15</v>
      </c>
      <c r="F360" s="322">
        <v>0.149</v>
      </c>
      <c r="G360" s="323">
        <v>0.15</v>
      </c>
    </row>
    <row r="361" spans="1:7">
      <c r="A361" s="332" t="s">
        <v>296</v>
      </c>
      <c r="B361" s="321" t="s">
        <v>2240</v>
      </c>
      <c r="C361" s="322">
        <v>0.15</v>
      </c>
      <c r="D361" s="322">
        <v>0.15</v>
      </c>
      <c r="E361" s="322">
        <v>0.15</v>
      </c>
      <c r="F361" s="322">
        <v>0.115</v>
      </c>
      <c r="G361" s="323">
        <v>0.15</v>
      </c>
    </row>
    <row r="362" spans="1:7">
      <c r="A362" s="332" t="s">
        <v>296</v>
      </c>
      <c r="B362" s="321" t="s">
        <v>2252</v>
      </c>
      <c r="C362" s="322">
        <v>0.15</v>
      </c>
      <c r="D362" s="322">
        <v>0.15</v>
      </c>
      <c r="E362" s="322">
        <v>0.15</v>
      </c>
      <c r="F362" s="322">
        <v>0.106</v>
      </c>
      <c r="G362" s="323">
        <v>0.15</v>
      </c>
    </row>
    <row r="363" spans="1:7">
      <c r="A363" s="332" t="s">
        <v>296</v>
      </c>
      <c r="B363" s="321" t="s">
        <v>2263</v>
      </c>
      <c r="C363" s="322">
        <v>0.15</v>
      </c>
      <c r="D363" s="322">
        <v>0.15</v>
      </c>
      <c r="E363" s="322">
        <v>0.15</v>
      </c>
      <c r="F363" s="322">
        <v>0.147</v>
      </c>
      <c r="G363" s="323">
        <v>0.15</v>
      </c>
    </row>
    <row r="364" spans="1:7">
      <c r="A364" s="332" t="s">
        <v>296</v>
      </c>
      <c r="B364" s="321" t="s">
        <v>2274</v>
      </c>
      <c r="C364" s="322">
        <v>0.15</v>
      </c>
      <c r="D364" s="322">
        <v>0.15</v>
      </c>
      <c r="E364" s="322">
        <v>0.15</v>
      </c>
      <c r="F364" s="322">
        <v>0.148</v>
      </c>
      <c r="G364" s="323">
        <v>0.15</v>
      </c>
    </row>
    <row r="365" spans="1:7">
      <c r="A365" s="332" t="s">
        <v>296</v>
      </c>
      <c r="B365" s="321" t="s">
        <v>2285</v>
      </c>
      <c r="C365" s="322">
        <v>0.15</v>
      </c>
      <c r="D365" s="322">
        <v>0.15</v>
      </c>
      <c r="E365" s="322">
        <v>0.15</v>
      </c>
      <c r="F365" s="322">
        <v>0.15</v>
      </c>
      <c r="G365" s="323">
        <v>0.15</v>
      </c>
    </row>
    <row r="366" spans="1:7">
      <c r="A366" s="332" t="s">
        <v>296</v>
      </c>
      <c r="B366" s="321" t="s">
        <v>2295</v>
      </c>
      <c r="C366" s="322">
        <v>0.15</v>
      </c>
      <c r="D366" s="322">
        <v>0.15</v>
      </c>
      <c r="E366" s="322">
        <v>0.15</v>
      </c>
      <c r="F366" s="322">
        <v>0.15</v>
      </c>
      <c r="G366" s="323">
        <v>0.15</v>
      </c>
    </row>
    <row r="367" spans="1:7">
      <c r="A367" s="332" t="s">
        <v>296</v>
      </c>
      <c r="B367" s="321" t="s">
        <v>2305</v>
      </c>
      <c r="C367" s="322">
        <v>0.15</v>
      </c>
      <c r="D367" s="322">
        <v>0.15</v>
      </c>
      <c r="E367" s="322">
        <v>0.15</v>
      </c>
      <c r="F367" s="322">
        <v>0.147</v>
      </c>
      <c r="G367" s="323">
        <v>0.15</v>
      </c>
    </row>
    <row r="368" spans="1:7">
      <c r="A368" s="332" t="s">
        <v>296</v>
      </c>
      <c r="B368" s="321" t="s">
        <v>2315</v>
      </c>
      <c r="C368" s="322">
        <v>0.15</v>
      </c>
      <c r="D368" s="322">
        <v>0.15</v>
      </c>
      <c r="E368" s="322">
        <v>0.15</v>
      </c>
      <c r="F368" s="322">
        <v>0.136</v>
      </c>
      <c r="G368" s="323">
        <v>0.15</v>
      </c>
    </row>
    <row r="369" spans="1:7">
      <c r="A369" s="332" t="s">
        <v>296</v>
      </c>
      <c r="B369" s="321" t="s">
        <v>2325</v>
      </c>
      <c r="C369" s="322">
        <v>0.15</v>
      </c>
      <c r="D369" s="322">
        <v>0.15</v>
      </c>
      <c r="E369" s="322">
        <v>0.15</v>
      </c>
      <c r="F369" s="322">
        <v>0.144</v>
      </c>
      <c r="G369" s="323">
        <v>0.15</v>
      </c>
    </row>
    <row r="370" spans="1:7">
      <c r="A370" s="332" t="s">
        <v>296</v>
      </c>
      <c r="B370" s="321" t="s">
        <v>2335</v>
      </c>
      <c r="C370" s="322">
        <v>0.15</v>
      </c>
      <c r="D370" s="322">
        <v>0.15</v>
      </c>
      <c r="E370" s="322">
        <v>0.15</v>
      </c>
      <c r="F370" s="322">
        <v>0.146</v>
      </c>
      <c r="G370" s="323">
        <v>0.15</v>
      </c>
    </row>
    <row r="371" spans="1:7">
      <c r="A371" s="332" t="s">
        <v>296</v>
      </c>
      <c r="B371" s="321" t="s">
        <v>2345</v>
      </c>
      <c r="C371" s="322">
        <v>0.15</v>
      </c>
      <c r="D371" s="322">
        <v>0.15</v>
      </c>
      <c r="E371" s="322">
        <v>0.15</v>
      </c>
      <c r="F371" s="322">
        <v>0.12</v>
      </c>
      <c r="G371" s="323">
        <v>0.15</v>
      </c>
    </row>
    <row r="372" spans="1:7">
      <c r="A372" s="332" t="s">
        <v>296</v>
      </c>
      <c r="B372" s="321" t="s">
        <v>2355</v>
      </c>
      <c r="C372" s="322">
        <v>0.15</v>
      </c>
      <c r="D372" s="322">
        <v>0.15</v>
      </c>
      <c r="E372" s="322">
        <v>0.15</v>
      </c>
      <c r="F372" s="322">
        <v>0.143</v>
      </c>
      <c r="G372" s="323">
        <v>0.15</v>
      </c>
    </row>
    <row r="373" spans="1:7">
      <c r="A373" s="332" t="s">
        <v>296</v>
      </c>
      <c r="B373" s="321" t="s">
        <v>2365</v>
      </c>
      <c r="C373" s="322">
        <v>0.15</v>
      </c>
      <c r="D373" s="322">
        <v>0.15</v>
      </c>
      <c r="E373" s="322">
        <v>0.15</v>
      </c>
      <c r="F373" s="322">
        <v>0.146</v>
      </c>
      <c r="G373" s="323">
        <v>0.15</v>
      </c>
    </row>
    <row r="374" spans="1:7">
      <c r="A374" s="332" t="s">
        <v>296</v>
      </c>
      <c r="B374" s="321" t="s">
        <v>2375</v>
      </c>
      <c r="C374" s="322">
        <v>0.15</v>
      </c>
      <c r="D374" s="322">
        <v>0.15</v>
      </c>
      <c r="E374" s="322">
        <v>0.15</v>
      </c>
      <c r="F374" s="322">
        <v>0.144</v>
      </c>
      <c r="G374" s="323">
        <v>0.15</v>
      </c>
    </row>
    <row r="375" spans="1:7">
      <c r="A375" s="332" t="s">
        <v>296</v>
      </c>
      <c r="B375" s="321" t="s">
        <v>2385</v>
      </c>
      <c r="C375" s="322">
        <v>0.15</v>
      </c>
      <c r="D375" s="322">
        <v>0.15</v>
      </c>
      <c r="E375" s="322">
        <v>0.15</v>
      </c>
      <c r="F375" s="322">
        <v>0.13</v>
      </c>
      <c r="G375" s="323">
        <v>0.15</v>
      </c>
    </row>
    <row r="376" spans="1:7">
      <c r="A376" s="332" t="s">
        <v>296</v>
      </c>
      <c r="B376" s="321" t="s">
        <v>2395</v>
      </c>
      <c r="C376" s="322">
        <v>0.15</v>
      </c>
      <c r="D376" s="322">
        <v>0.15</v>
      </c>
      <c r="E376" s="322">
        <v>0.15</v>
      </c>
      <c r="F376" s="322">
        <v>0.142</v>
      </c>
      <c r="G376" s="323">
        <v>0.15</v>
      </c>
    </row>
    <row r="377" ht="14.75" spans="1:7">
      <c r="A377" s="335" t="s">
        <v>296</v>
      </c>
      <c r="B377" s="325" t="s">
        <v>2405</v>
      </c>
      <c r="C377" s="326">
        <v>0.15</v>
      </c>
      <c r="D377" s="326">
        <v>0.15</v>
      </c>
      <c r="E377" s="326">
        <v>0.15</v>
      </c>
      <c r="F377" s="326">
        <v>0.14</v>
      </c>
      <c r="G377" s="328">
        <v>0.15</v>
      </c>
    </row>
    <row r="378" spans="1:7">
      <c r="A378" s="331" t="s">
        <v>300</v>
      </c>
      <c r="B378" s="317" t="s">
        <v>2202</v>
      </c>
      <c r="C378" s="318">
        <v>0.15</v>
      </c>
      <c r="D378" s="318">
        <v>0.15</v>
      </c>
      <c r="E378" s="318">
        <v>0.15</v>
      </c>
      <c r="F378" s="318">
        <v>0.107</v>
      </c>
      <c r="G378" s="319">
        <v>0.15</v>
      </c>
    </row>
    <row r="379" spans="1:7">
      <c r="A379" s="332" t="s">
        <v>300</v>
      </c>
      <c r="B379" s="321" t="s">
        <v>2215</v>
      </c>
      <c r="C379" s="322">
        <v>0.15</v>
      </c>
      <c r="D379" s="322">
        <v>0.15</v>
      </c>
      <c r="E379" s="322">
        <v>0.15</v>
      </c>
      <c r="F379" s="322">
        <v>0.115</v>
      </c>
      <c r="G379" s="323">
        <v>0.149</v>
      </c>
    </row>
    <row r="380" spans="1:7">
      <c r="A380" s="332" t="s">
        <v>300</v>
      </c>
      <c r="B380" s="321" t="s">
        <v>2229</v>
      </c>
      <c r="C380" s="322">
        <v>0.15</v>
      </c>
      <c r="D380" s="322">
        <v>0.15</v>
      </c>
      <c r="E380" s="322">
        <v>0.15</v>
      </c>
      <c r="F380" s="322">
        <v>0.1</v>
      </c>
      <c r="G380" s="323">
        <v>0.148</v>
      </c>
    </row>
    <row r="381" spans="1:7">
      <c r="A381" s="332" t="s">
        <v>300</v>
      </c>
      <c r="B381" s="321" t="s">
        <v>2241</v>
      </c>
      <c r="C381" s="322">
        <v>0.15</v>
      </c>
      <c r="D381" s="322">
        <v>0.15</v>
      </c>
      <c r="E381" s="322">
        <v>0.15</v>
      </c>
      <c r="F381" s="322">
        <v>0.126</v>
      </c>
      <c r="G381" s="323">
        <v>0.15</v>
      </c>
    </row>
    <row r="382" spans="1:7">
      <c r="A382" s="332" t="s">
        <v>300</v>
      </c>
      <c r="B382" s="321" t="s">
        <v>2253</v>
      </c>
      <c r="C382" s="322">
        <v>0.15</v>
      </c>
      <c r="D382" s="322">
        <v>0.15</v>
      </c>
      <c r="E382" s="322">
        <v>0.15</v>
      </c>
      <c r="F382" s="322">
        <v>0.15</v>
      </c>
      <c r="G382" s="323">
        <v>0.15</v>
      </c>
    </row>
    <row r="383" spans="1:7">
      <c r="A383" s="332" t="s">
        <v>300</v>
      </c>
      <c r="B383" s="321" t="s">
        <v>2264</v>
      </c>
      <c r="C383" s="322">
        <v>0.15</v>
      </c>
      <c r="D383" s="322">
        <v>0.15</v>
      </c>
      <c r="E383" s="322">
        <v>0.15</v>
      </c>
      <c r="F383" s="322">
        <v>0.147</v>
      </c>
      <c r="G383" s="323">
        <v>0.15</v>
      </c>
    </row>
    <row r="384" ht="14.75" spans="1:7">
      <c r="A384" s="342" t="s">
        <v>300</v>
      </c>
      <c r="B384" s="343" t="s">
        <v>2275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2579</v>
      </c>
      <c r="B1" s="300"/>
      <c r="C1" s="300"/>
      <c r="D1" s="300"/>
      <c r="E1" s="300"/>
      <c r="F1" s="301"/>
    </row>
    <row r="2" spans="1:6">
      <c r="A2" s="302" t="s">
        <v>2580</v>
      </c>
      <c r="B2" s="303"/>
      <c r="C2" s="303"/>
      <c r="D2" s="303"/>
      <c r="E2" s="303"/>
      <c r="F2" s="303"/>
    </row>
    <row r="3" spans="1:6">
      <c r="A3" s="302" t="s">
        <v>2581</v>
      </c>
      <c r="B3" s="303"/>
      <c r="C3" s="303"/>
      <c r="D3" s="303"/>
      <c r="E3" s="303"/>
      <c r="F3" s="304" t="s">
        <v>2582</v>
      </c>
    </row>
    <row r="4" spans="1:6">
      <c r="A4" s="305" t="s">
        <v>404</v>
      </c>
      <c r="B4" s="305" t="s">
        <v>1863</v>
      </c>
      <c r="C4" s="305" t="s">
        <v>1864</v>
      </c>
      <c r="D4" s="305" t="s">
        <v>2583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K3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0</v>
      </c>
      <c r="B1" s="226" t="s">
        <v>2584</v>
      </c>
      <c r="C1" s="227"/>
      <c r="D1" s="227"/>
      <c r="E1" s="227"/>
      <c r="F1" s="227"/>
      <c r="G1" s="227"/>
      <c r="H1" s="227"/>
      <c r="I1" s="227"/>
      <c r="J1" s="253"/>
      <c r="K1" s="227" t="s">
        <v>2585</v>
      </c>
      <c r="L1" s="227"/>
      <c r="M1" s="227"/>
      <c r="N1" s="227"/>
      <c r="O1" s="227"/>
      <c r="P1" s="227"/>
      <c r="Q1" s="253"/>
      <c r="R1" s="273" t="s">
        <v>2586</v>
      </c>
      <c r="S1" s="224"/>
      <c r="T1" s="224"/>
      <c r="U1" s="224"/>
      <c r="V1" s="224"/>
      <c r="W1" s="224"/>
      <c r="X1" s="253"/>
      <c r="Y1" s="273" t="s">
        <v>2587</v>
      </c>
      <c r="Z1" s="224"/>
      <c r="AA1" s="224"/>
      <c r="AB1" s="224"/>
      <c r="AC1" s="224"/>
      <c r="AD1" s="224"/>
    </row>
    <row r="2" s="217" customFormat="1" ht="14.75" spans="2:30">
      <c r="B2" s="228"/>
      <c r="C2" s="229"/>
      <c r="D2" s="230" t="s">
        <v>2588</v>
      </c>
      <c r="E2" s="231" t="s">
        <v>1863</v>
      </c>
      <c r="F2" s="231" t="s">
        <v>1864</v>
      </c>
      <c r="G2" s="231" t="s">
        <v>412</v>
      </c>
      <c r="H2" s="231" t="s">
        <v>408</v>
      </c>
      <c r="I2" s="231" t="s">
        <v>280</v>
      </c>
      <c r="J2" s="254"/>
      <c r="K2" s="230" t="s">
        <v>2588</v>
      </c>
      <c r="L2" s="231" t="s">
        <v>1863</v>
      </c>
      <c r="M2" s="231" t="s">
        <v>1864</v>
      </c>
      <c r="N2" s="231" t="s">
        <v>412</v>
      </c>
      <c r="O2" s="231" t="s">
        <v>408</v>
      </c>
      <c r="P2" s="231" t="s">
        <v>280</v>
      </c>
      <c r="Q2" s="254"/>
      <c r="R2" s="230" t="s">
        <v>2588</v>
      </c>
      <c r="S2" s="231" t="s">
        <v>1863</v>
      </c>
      <c r="T2" s="231" t="s">
        <v>1864</v>
      </c>
      <c r="U2" s="231" t="s">
        <v>412</v>
      </c>
      <c r="V2" s="231" t="s">
        <v>408</v>
      </c>
      <c r="W2" s="231" t="s">
        <v>280</v>
      </c>
      <c r="X2" s="254"/>
      <c r="Y2" s="230" t="s">
        <v>2588</v>
      </c>
      <c r="Z2" s="231" t="s">
        <v>1863</v>
      </c>
      <c r="AA2" s="231" t="s">
        <v>1864</v>
      </c>
      <c r="AB2" s="231" t="s">
        <v>412</v>
      </c>
      <c r="AC2" s="231" t="s">
        <v>408</v>
      </c>
      <c r="AD2" s="231" t="s">
        <v>280</v>
      </c>
    </row>
    <row r="3" s="218" customFormat="1" ht="13" spans="1:30">
      <c r="A3" s="232" t="s">
        <v>2589</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2590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2591</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2592</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2593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2594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2595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2596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2597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2598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2599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2600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2601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2602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2603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2604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2605</v>
      </c>
    </row>
    <row r="22" s="223" customFormat="1" spans="9:9">
      <c r="I22" s="272" t="s">
        <v>1431</v>
      </c>
    </row>
    <row r="23" s="223" customFormat="1"/>
    <row r="24" s="224" customFormat="1" ht="13" spans="2:25">
      <c r="B24" s="226" t="s">
        <v>2606</v>
      </c>
      <c r="C24" s="227"/>
      <c r="D24" s="227"/>
      <c r="E24" s="227"/>
      <c r="F24" s="227"/>
      <c r="G24" s="227"/>
      <c r="H24" s="227"/>
      <c r="I24" s="227"/>
      <c r="J24" s="253"/>
      <c r="K24" s="227" t="s">
        <v>2585</v>
      </c>
      <c r="L24" s="227"/>
      <c r="M24" s="227"/>
      <c r="N24" s="227"/>
      <c r="O24" s="227"/>
      <c r="P24" s="227"/>
      <c r="Q24" s="253"/>
      <c r="R24" s="273" t="s">
        <v>2586</v>
      </c>
      <c r="X24" s="253"/>
      <c r="Y24" s="273" t="s">
        <v>2587</v>
      </c>
    </row>
    <row r="25" s="217" customFormat="1" ht="14.75" spans="2:30">
      <c r="B25" s="228"/>
      <c r="C25" s="229"/>
      <c r="D25" s="230" t="s">
        <v>2588</v>
      </c>
      <c r="E25" s="231" t="s">
        <v>1863</v>
      </c>
      <c r="F25" s="231" t="s">
        <v>1864</v>
      </c>
      <c r="G25" s="231" t="s">
        <v>412</v>
      </c>
      <c r="H25" s="231"/>
      <c r="I25" s="231" t="s">
        <v>280</v>
      </c>
      <c r="J25" s="254"/>
      <c r="K25" s="230" t="s">
        <v>2588</v>
      </c>
      <c r="L25" s="231" t="s">
        <v>1863</v>
      </c>
      <c r="M25" s="231" t="s">
        <v>1864</v>
      </c>
      <c r="N25" s="231" t="s">
        <v>412</v>
      </c>
      <c r="O25" s="231"/>
      <c r="P25" s="231" t="s">
        <v>280</v>
      </c>
      <c r="Q25" s="254"/>
      <c r="R25" s="230" t="s">
        <v>2588</v>
      </c>
      <c r="S25" s="231" t="s">
        <v>1863</v>
      </c>
      <c r="T25" s="231" t="s">
        <v>1864</v>
      </c>
      <c r="U25" s="231" t="s">
        <v>412</v>
      </c>
      <c r="V25" s="231"/>
      <c r="W25" s="231" t="s">
        <v>280</v>
      </c>
      <c r="X25" s="254"/>
      <c r="Y25" s="230" t="s">
        <v>2588</v>
      </c>
      <c r="Z25" s="231" t="s">
        <v>1863</v>
      </c>
      <c r="AA25" s="231" t="s">
        <v>1864</v>
      </c>
      <c r="AB25" s="231" t="s">
        <v>412</v>
      </c>
      <c r="AC25" s="231"/>
      <c r="AD25" s="231" t="s">
        <v>280</v>
      </c>
    </row>
    <row r="26" s="218" customFormat="1" ht="13" spans="1:30">
      <c r="A26" s="232" t="s">
        <v>2589</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2590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2591</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2592</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2593</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2594</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2595</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2596</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2597</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2598</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2599</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2600</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2601</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2602</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2603</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2604</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2607</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K3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2608</v>
      </c>
      <c r="C1" s="85"/>
      <c r="D1" s="85"/>
      <c r="E1" s="85"/>
      <c r="F1" s="85"/>
      <c r="G1" s="74" t="s">
        <v>2609</v>
      </c>
      <c r="N1" s="74" t="s">
        <v>2585</v>
      </c>
      <c r="S1" s="74" t="s">
        <v>2610</v>
      </c>
      <c r="X1" s="158" t="s">
        <v>2586</v>
      </c>
      <c r="AD1" s="158" t="s">
        <v>2587</v>
      </c>
    </row>
    <row r="2" s="75" customFormat="1" ht="14.75" spans="2:34">
      <c r="B2" s="86" t="s">
        <v>2611</v>
      </c>
      <c r="C2" s="86" t="s">
        <v>2612</v>
      </c>
      <c r="D2" s="87" t="s">
        <v>1864</v>
      </c>
      <c r="E2" s="87" t="s">
        <v>412</v>
      </c>
      <c r="F2" s="86" t="s">
        <v>2613</v>
      </c>
      <c r="G2" s="88"/>
      <c r="I2" s="86" t="s">
        <v>2611</v>
      </c>
      <c r="J2" s="87" t="s">
        <v>1873</v>
      </c>
      <c r="K2" s="87" t="s">
        <v>412</v>
      </c>
      <c r="L2" s="86" t="s">
        <v>2613</v>
      </c>
      <c r="N2" s="86" t="s">
        <v>2611</v>
      </c>
      <c r="O2" s="87" t="s">
        <v>1873</v>
      </c>
      <c r="P2" s="87" t="s">
        <v>412</v>
      </c>
      <c r="Q2" s="86" t="s">
        <v>2613</v>
      </c>
      <c r="S2" s="86" t="s">
        <v>2611</v>
      </c>
      <c r="T2" s="87" t="s">
        <v>1873</v>
      </c>
      <c r="U2" s="87" t="s">
        <v>412</v>
      </c>
      <c r="V2" s="86" t="s">
        <v>2613</v>
      </c>
      <c r="X2" s="86" t="s">
        <v>2611</v>
      </c>
      <c r="Y2" s="86" t="s">
        <v>2612</v>
      </c>
      <c r="Z2" s="87" t="s">
        <v>1864</v>
      </c>
      <c r="AA2" s="87" t="s">
        <v>412</v>
      </c>
      <c r="AB2" s="86" t="s">
        <v>2613</v>
      </c>
      <c r="AD2" s="86" t="s">
        <v>2611</v>
      </c>
      <c r="AE2" s="86" t="s">
        <v>2612</v>
      </c>
      <c r="AF2" s="87" t="s">
        <v>1864</v>
      </c>
      <c r="AG2" s="87" t="s">
        <v>412</v>
      </c>
      <c r="AH2" s="86" t="s">
        <v>2613</v>
      </c>
    </row>
    <row r="3" s="76" customFormat="1" ht="14" spans="1:34">
      <c r="A3" s="89" t="s">
        <v>2589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2597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2598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2599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2600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2601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2602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2603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2604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2615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2616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2617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2618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2619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2620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2621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2622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2623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2626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2627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2628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2629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2631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2634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2635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2636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2637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2638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2639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2641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2642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2644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2646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2647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2648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2649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2651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2652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2655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2656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2657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2658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2659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2660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2664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2666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2667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2668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2669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2672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2676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2677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2678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2679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2680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2683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2684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2686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2687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2688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2689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2691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2692</v>
      </c>
      <c r="G91" s="192"/>
      <c r="N91" s="192"/>
      <c r="S91" s="192"/>
    </row>
    <row r="92" s="82" customFormat="1" ht="13" spans="1:19">
      <c r="A92" s="82" t="s">
        <v>2693</v>
      </c>
      <c r="G92" s="192"/>
      <c r="N92" s="192"/>
      <c r="S92" s="192"/>
    </row>
    <row r="93" s="82" customFormat="1" ht="13" spans="1:22">
      <c r="A93" s="82" t="s">
        <v>2694</v>
      </c>
      <c r="G93" s="192"/>
      <c r="I93" s="204"/>
      <c r="J93" s="204"/>
      <c r="K93" s="204"/>
      <c r="L93" s="204"/>
      <c r="N93" s="205"/>
      <c r="O93" s="204"/>
      <c r="P93" s="204"/>
      <c r="Q93" s="204"/>
      <c r="S93" s="205"/>
      <c r="T93" s="204"/>
      <c r="U93" s="204"/>
      <c r="V93" s="204"/>
    </row>
    <row r="94" s="82" customFormat="1" ht="13" spans="1:19">
      <c r="A94" s="82" t="s">
        <v>2695</v>
      </c>
      <c r="G94" s="192"/>
      <c r="N94" s="192"/>
      <c r="S94" s="192"/>
    </row>
    <row r="101" ht="13.25"/>
    <row r="102" ht="13" spans="7:22">
      <c r="G102" s="83"/>
      <c r="S102" s="209" t="s">
        <v>2696</v>
      </c>
      <c r="T102" s="210" t="s">
        <v>2697</v>
      </c>
      <c r="U102" s="210" t="s">
        <v>2698</v>
      </c>
      <c r="V102" s="210" t="s">
        <v>2699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K3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0</v>
      </c>
      <c r="D1" s="7" t="s">
        <v>2700</v>
      </c>
      <c r="E1" s="9">
        <f>'数据-取费表'!B22</f>
        <v>0</v>
      </c>
      <c r="F1" s="7" t="s">
        <v>2701</v>
      </c>
      <c r="G1" s="10">
        <f ca="1">INDIRECT("d"&amp;$K$1)/100</f>
        <v>0</v>
      </c>
      <c r="H1" s="7" t="s">
        <v>2702</v>
      </c>
      <c r="I1" s="10">
        <f ca="1">F4/100</f>
        <v>0</v>
      </c>
      <c r="J1" s="59">
        <f>IF(C1&gt;C13,0,MATCH(C1,C$13:C$111,-1))+IF(SUMIF(C13:C111,C1,D13:D111)=0,13,12)</f>
        <v>69</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2701</v>
      </c>
      <c r="E2" s="11"/>
      <c r="F2" s="11" t="s">
        <v>2703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2704</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2705</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2706</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2707</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75" spans="2:26">
      <c r="B7" s="23" t="s">
        <v>2708</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2710</v>
      </c>
      <c r="C10" s="35"/>
      <c r="D10" s="35"/>
      <c r="E10" s="35"/>
      <c r="F10" s="35"/>
      <c r="G10" s="35"/>
      <c r="H10" s="35"/>
      <c r="I10" s="3"/>
      <c r="J10" s="3"/>
      <c r="K10" s="35"/>
      <c r="L10" s="36" t="s">
        <v>2711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2712</v>
      </c>
      <c r="C11" s="39" t="s">
        <v>2713</v>
      </c>
      <c r="D11" s="40" t="s">
        <v>2714</v>
      </c>
      <c r="E11" s="41"/>
      <c r="F11" s="40" t="s">
        <v>2715</v>
      </c>
      <c r="G11" s="42"/>
      <c r="H11" s="41"/>
      <c r="I11" s="40" t="s">
        <v>2716</v>
      </c>
      <c r="J11" s="41"/>
      <c r="K11" s="37"/>
      <c r="L11" s="38" t="s">
        <v>2712</v>
      </c>
      <c r="M11" s="39" t="s">
        <v>2713</v>
      </c>
      <c r="N11" s="38" t="s">
        <v>2717</v>
      </c>
      <c r="O11" s="40" t="s">
        <v>2718</v>
      </c>
      <c r="P11" s="42"/>
      <c r="Q11" s="42"/>
      <c r="R11" s="42"/>
      <c r="S11" s="42"/>
      <c r="T11" s="41"/>
      <c r="U11" s="40" t="s">
        <v>2719</v>
      </c>
      <c r="V11" s="42"/>
      <c r="W11" s="41"/>
      <c r="X11" s="38" t="s">
        <v>2720</v>
      </c>
      <c r="Y11" s="38" t="s">
        <v>2721</v>
      </c>
      <c r="Z11" s="38" t="s">
        <v>2722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2723</v>
      </c>
      <c r="E12" s="46" t="s">
        <v>2705</v>
      </c>
      <c r="F12" s="46" t="s">
        <v>2706</v>
      </c>
      <c r="G12" s="46" t="s">
        <v>2707</v>
      </c>
      <c r="H12" s="46" t="s">
        <v>2708</v>
      </c>
      <c r="I12" s="60" t="s">
        <v>2724</v>
      </c>
      <c r="J12" s="60" t="s">
        <v>2724</v>
      </c>
      <c r="K12" s="43"/>
      <c r="L12" s="44"/>
      <c r="M12" s="45"/>
      <c r="N12" s="44"/>
      <c r="O12" s="60" t="s">
        <v>2725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2726</v>
      </c>
      <c r="C13" s="49">
        <v>45159</v>
      </c>
      <c r="D13" s="50">
        <v>3.45</v>
      </c>
      <c r="E13" s="50">
        <f>D13</f>
        <v>3.45</v>
      </c>
      <c r="F13" s="50">
        <f>D13</f>
        <v>3.45</v>
      </c>
      <c r="G13" s="50">
        <f>D13</f>
        <v>3.45</v>
      </c>
      <c r="H13" s="50">
        <v>4.2</v>
      </c>
      <c r="I13" s="50"/>
      <c r="J13" s="50"/>
      <c r="K13" s="47"/>
      <c r="L13" s="48" t="s">
        <v>2726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2727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2728</v>
      </c>
      <c r="Y42" s="52" t="s">
        <v>2728</v>
      </c>
      <c r="Z42" s="52" t="s">
        <v>2728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2728</v>
      </c>
      <c r="Y43" s="52" t="s">
        <v>2728</v>
      </c>
      <c r="Z43" s="52" t="s">
        <v>2728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2728</v>
      </c>
      <c r="Y44" s="52" t="s">
        <v>2728</v>
      </c>
      <c r="Z44" s="52" t="s">
        <v>2728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2728</v>
      </c>
      <c r="Y45" s="52" t="s">
        <v>2728</v>
      </c>
      <c r="Z45" s="52" t="s">
        <v>2728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2728</v>
      </c>
      <c r="Y46" s="52" t="s">
        <v>2728</v>
      </c>
      <c r="Z46" s="52" t="s">
        <v>2728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2728</v>
      </c>
      <c r="Y47" s="52" t="s">
        <v>2728</v>
      </c>
      <c r="Z47" s="52" t="s">
        <v>2728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2728</v>
      </c>
      <c r="Y48" s="52" t="s">
        <v>2728</v>
      </c>
      <c r="Z48" s="52" t="s">
        <v>2728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2728</v>
      </c>
      <c r="Y49" s="52" t="s">
        <v>2728</v>
      </c>
      <c r="Z49" s="52" t="s">
        <v>2728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2728</v>
      </c>
      <c r="Y50" s="52" t="s">
        <v>2728</v>
      </c>
      <c r="Z50" s="52" t="s">
        <v>2728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2728</v>
      </c>
      <c r="V51" s="52" t="s">
        <v>2728</v>
      </c>
      <c r="W51" s="52" t="s">
        <v>2728</v>
      </c>
      <c r="X51" s="52" t="s">
        <v>2728</v>
      </c>
      <c r="Y51" s="52" t="s">
        <v>2728</v>
      </c>
      <c r="Z51" s="52" t="s">
        <v>2728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2728</v>
      </c>
      <c r="J66" s="52" t="s">
        <v>2728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5" spans="1:9">
      <c r="A3" s="3622"/>
      <c r="B3" s="3622"/>
      <c r="C3" s="3622"/>
      <c r="D3" s="3622" t="s">
        <v>110</v>
      </c>
      <c r="E3" s="3622" t="s">
        <v>111</v>
      </c>
      <c r="F3" s="3622" t="s">
        <v>110</v>
      </c>
      <c r="G3" s="3622" t="s">
        <v>111</v>
      </c>
      <c r="H3" s="3622" t="s">
        <v>110</v>
      </c>
      <c r="I3" s="3622" t="s">
        <v>111</v>
      </c>
    </row>
    <row r="4" ht="15.5" spans="1:9">
      <c r="A4" s="3623" t="str">
        <f>项目基本情况!S2</f>
        <v>房地产</v>
      </c>
      <c r="B4" s="3622">
        <f>项目基本情况!C17</f>
        <v>0</v>
      </c>
      <c r="C4" s="3622" t="e">
        <f>项目基本情况!C18</f>
        <v>#DIV/0!</v>
      </c>
      <c r="D4" s="3622">
        <f ca="1">结果表!D118</f>
        <v>0</v>
      </c>
      <c r="E4" s="3622">
        <f ca="1">结果表!E118</f>
        <v>0</v>
      </c>
      <c r="F4" s="3622">
        <f ca="1">结果表!F118</f>
        <v>0</v>
      </c>
      <c r="G4" s="3622">
        <f ca="1">结果表!G118</f>
        <v>0</v>
      </c>
      <c r="H4" s="3622">
        <f ca="1">结果表!H118</f>
        <v>0</v>
      </c>
      <c r="I4" s="3622">
        <f ca="1">结果表!I118</f>
        <v>17000</v>
      </c>
    </row>
    <row r="5" ht="30" customHeight="1" spans="1:9">
      <c r="A5" s="3622" t="s">
        <v>112</v>
      </c>
      <c r="B5" s="3622"/>
      <c r="C5" s="3622"/>
      <c r="D5" s="3622" t="str">
        <f ca="1">结果表!D119</f>
        <v>零元整</v>
      </c>
      <c r="E5" s="3622"/>
      <c r="F5" s="3622" t="str">
        <f ca="1">结果表!F119</f>
        <v>零元整</v>
      </c>
      <c r="G5" s="3622"/>
      <c r="H5" s="3622" t="str">
        <f ca="1">结果表!H119</f>
        <v>零元整</v>
      </c>
      <c r="I5" s="3622"/>
    </row>
    <row r="6" ht="15.5" spans="1:9">
      <c r="A6" s="3624" t="str">
        <f>结果表!A120</f>
        <v>估价师知悉的法定优先受偿款</v>
      </c>
      <c r="B6" s="3624"/>
      <c r="C6" s="3624"/>
      <c r="D6" s="3624">
        <f>结果表!D120</f>
        <v>0</v>
      </c>
      <c r="E6" s="3624"/>
      <c r="F6" s="3624"/>
      <c r="G6" s="3624"/>
      <c r="H6" s="3624"/>
      <c r="I6" s="3624"/>
    </row>
    <row r="7" ht="15.5" spans="1:9">
      <c r="A7" s="3622" t="s">
        <v>112</v>
      </c>
      <c r="B7" s="3622"/>
      <c r="C7" s="3622"/>
      <c r="D7" s="3625" t="str">
        <f>结果表!D121</f>
        <v>零元整</v>
      </c>
      <c r="E7" s="3626"/>
      <c r="F7" s="3626"/>
      <c r="G7" s="3626"/>
      <c r="H7" s="3626"/>
      <c r="I7" s="3630"/>
    </row>
    <row r="8" ht="15.5" spans="1:9">
      <c r="A8" s="3624" t="str">
        <f>结果表!A122</f>
        <v>房地产抵押价值</v>
      </c>
      <c r="B8" s="3624"/>
      <c r="C8" s="3624"/>
      <c r="D8" s="3624">
        <f ca="1">结果表!D122</f>
        <v>0</v>
      </c>
      <c r="E8" s="3624"/>
      <c r="F8" s="3624"/>
      <c r="G8" s="3624"/>
      <c r="H8" s="3624"/>
      <c r="I8" s="3624"/>
    </row>
    <row r="9" ht="15.5" spans="1:9">
      <c r="A9" s="3622" t="s">
        <v>112</v>
      </c>
      <c r="B9" s="3622"/>
      <c r="C9" s="3622"/>
      <c r="D9" s="3622" t="str">
        <f ca="1">结果表!D123</f>
        <v>零元整</v>
      </c>
      <c r="E9" s="3622"/>
      <c r="F9" s="3622"/>
      <c r="G9" s="3622"/>
      <c r="H9" s="3622"/>
      <c r="I9" s="3622"/>
    </row>
    <row r="10" ht="15.5" spans="1:9">
      <c r="A10" s="3624" t="str">
        <f>结果表!A124</f>
        <v/>
      </c>
      <c r="B10" s="3624"/>
      <c r="C10" s="3624"/>
      <c r="D10" s="3624" t="str">
        <f ca="1">结果表!D124</f>
        <v>——</v>
      </c>
      <c r="E10" s="3624"/>
      <c r="F10" s="3624"/>
      <c r="G10" s="3624"/>
      <c r="H10" s="3624"/>
      <c r="I10" s="3624"/>
    </row>
    <row r="11" ht="15.5" spans="1:9">
      <c r="A11" s="3622" t="s">
        <v>112</v>
      </c>
      <c r="B11" s="3622"/>
      <c r="C11" s="3622"/>
      <c r="D11" s="3622" t="e">
        <f ca="1">结果表!D125</f>
        <v>#VALUE!</v>
      </c>
      <c r="E11" s="3622"/>
      <c r="F11" s="3622"/>
      <c r="G11" s="3622"/>
      <c r="H11" s="3622"/>
      <c r="I11" s="3622"/>
    </row>
    <row r="12" ht="15.5" spans="1:9">
      <c r="A12" s="3624" t="str">
        <f>结果表!A126</f>
        <v/>
      </c>
      <c r="B12" s="3624"/>
      <c r="C12" s="3624"/>
      <c r="D12" s="3624" t="str">
        <f ca="1">结果表!D126</f>
        <v>——</v>
      </c>
      <c r="E12" s="3624"/>
      <c r="F12" s="3624"/>
      <c r="G12" s="3624"/>
      <c r="H12" s="3624"/>
      <c r="I12" s="3624"/>
    </row>
    <row r="13" ht="16.25" spans="1:9">
      <c r="A13" s="3627" t="s">
        <v>112</v>
      </c>
      <c r="B13" s="3627"/>
      <c r="C13" s="3627"/>
      <c r="D13" s="3627" t="e">
        <f ca="1">结果表!D127</f>
        <v>#VALUE!</v>
      </c>
      <c r="E13" s="3627"/>
      <c r="F13" s="3627"/>
      <c r="G13" s="3627"/>
      <c r="H13" s="3627"/>
      <c r="I13" s="3627"/>
    </row>
    <row r="14" ht="14.75" spans="1:9">
      <c r="A14" s="3628" t="s">
        <v>113</v>
      </c>
      <c r="B14" s="3628"/>
      <c r="C14" s="3628"/>
      <c r="D14" s="3628"/>
      <c r="E14" s="3628"/>
      <c r="F14" s="3628"/>
      <c r="G14" s="3628"/>
      <c r="H14" s="3628"/>
      <c r="I14" s="3628"/>
    </row>
    <row r="16" ht="1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0" t="s">
        <v>114</v>
      </c>
      <c r="B1" s="3600"/>
      <c r="C1" s="3600"/>
      <c r="D1" s="3600"/>
    </row>
    <row r="2" ht="18" spans="1:4">
      <c r="A2" s="3601" t="s">
        <v>115</v>
      </c>
      <c r="B2" s="3601"/>
      <c r="C2" s="3601"/>
      <c r="D2" s="3601"/>
    </row>
    <row r="3" ht="1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7.5" spans="1:4">
      <c r="A10" s="3600" t="s">
        <v>125</v>
      </c>
      <c r="B10" s="3609"/>
      <c r="C10" s="3609"/>
      <c r="D10" s="3609"/>
    </row>
    <row r="11" ht="30" customHeight="1" spans="1:4">
      <c r="A11" s="3610" t="s">
        <v>126</v>
      </c>
      <c r="B11" s="3611"/>
      <c r="C11" s="3611"/>
      <c r="D11" s="3611"/>
    </row>
    <row r="12" ht="15.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2"/>
      <c r="C12" s="3612"/>
      <c r="D12" s="3612"/>
    </row>
    <row r="13" ht="30" customHeight="1" spans="1:4">
      <c r="A13" s="3611" t="str">
        <f>IF(项目基本情况!B8="抵押","3.抵押双方在办理抵押登记手续时，应使用本公司出具的正式《房地产评估报告》，特提醒报告使用者注意。","——")</f>
        <v>——</v>
      </c>
      <c r="B13" s="3612"/>
      <c r="C13" s="3612"/>
      <c r="D13" s="3612"/>
    </row>
    <row r="14" ht="15.75" customHeight="1" spans="1:4">
      <c r="A14" s="3611" t="str">
        <f>IF(项目基本情况!B8="抵押","4.本次评估估价师所知悉的法定优先受偿款情况说明如下：","——")</f>
        <v>——</v>
      </c>
      <c r="B14" s="3612"/>
      <c r="C14" s="3612"/>
      <c r="D14" s="3612"/>
    </row>
    <row r="15" ht="42" customHeight="1" spans="1:4">
      <c r="A15" s="3611" t="str">
        <f>IF(项目基本情况!B8="抵押","（1）"&amp;CONCATENATE(项目基本情况!L20,项目基本情况!L21,项目基本情况!L22),"——")</f>
        <v>——</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7.5" spans="1:1">
      <c r="A25" s="3617" t="s">
        <v>130</v>
      </c>
    </row>
    <row r="26" ht="17.5" spans="1:1">
      <c r="A26" s="3618"/>
    </row>
    <row r="27" ht="17.5" spans="1:1">
      <c r="A27" s="3618" t="s">
        <v>131</v>
      </c>
    </row>
    <row r="30" ht="1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6" customWidth="1"/>
    <col min="3" max="10" width="12.5" style="3596" customWidth="1"/>
    <col min="11" max="16384" width="9" style="3596"/>
  </cols>
  <sheetData>
    <row r="1" ht="17.5" spans="1:10">
      <c r="A1" s="3597" t="s">
        <v>133</v>
      </c>
      <c r="B1" s="3598"/>
      <c r="C1" s="3598"/>
      <c r="D1" s="3598"/>
      <c r="E1" s="3598"/>
      <c r="F1" s="3598"/>
      <c r="G1" s="3598"/>
      <c r="H1" s="3598"/>
      <c r="I1" s="3598"/>
      <c r="J1" s="3598"/>
    </row>
    <row r="2" ht="1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2" customWidth="1"/>
    <col min="2" max="16384" width="14.5" style="3521"/>
  </cols>
  <sheetData>
    <row r="1" s="3571" customFormat="1" ht="1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4" spans="1:3">
      <c r="A15" s="3582" t="s">
        <v>146</v>
      </c>
      <c r="B15" s="3583" t="s">
        <v>147</v>
      </c>
      <c r="C15" s="3584"/>
    </row>
    <row r="16" ht="14" spans="1:3">
      <c r="A16" s="3585"/>
      <c r="B16" s="3583" t="s">
        <v>148</v>
      </c>
      <c r="C16" s="3584"/>
    </row>
    <row r="17" ht="14" spans="1:3">
      <c r="A17" s="3585"/>
      <c r="B17" s="3586" t="s">
        <v>149</v>
      </c>
      <c r="C17" s="3586" t="s">
        <v>146</v>
      </c>
    </row>
    <row r="18" ht="14" spans="1:3">
      <c r="A18" s="3585"/>
      <c r="B18" s="3586"/>
      <c r="C18" s="3586" t="s">
        <v>150</v>
      </c>
    </row>
    <row r="19" ht="14" spans="1:3">
      <c r="A19" s="3585"/>
      <c r="B19" s="3586"/>
      <c r="C19" s="3586" t="s">
        <v>151</v>
      </c>
    </row>
    <row r="20" ht="14" spans="1:3">
      <c r="A20" s="3587"/>
      <c r="B20" s="3588" t="s">
        <v>152</v>
      </c>
      <c r="C20" s="3584"/>
    </row>
    <row r="21" ht="14" spans="1:3">
      <c r="A21" s="3589" t="s">
        <v>153</v>
      </c>
      <c r="B21" s="3590"/>
      <c r="C21" s="3591"/>
    </row>
    <row r="22" ht="14" spans="1:3">
      <c r="A22" s="3592" t="s">
        <v>154</v>
      </c>
      <c r="B22" s="3588" t="s">
        <v>155</v>
      </c>
      <c r="C22" s="3584"/>
    </row>
    <row r="23" ht="14" spans="1:3">
      <c r="A23" s="3592"/>
      <c r="B23" s="3588" t="s">
        <v>156</v>
      </c>
      <c r="C23" s="3584"/>
    </row>
    <row r="24" ht="14" spans="1:3">
      <c r="A24" s="3592"/>
      <c r="B24" s="3588" t="s">
        <v>157</v>
      </c>
      <c r="C24" s="3584"/>
    </row>
    <row r="25" ht="14" spans="1:3">
      <c r="A25" s="3592"/>
      <c r="B25" s="3586" t="s">
        <v>158</v>
      </c>
      <c r="C25" s="3586" t="s">
        <v>159</v>
      </c>
    </row>
    <row r="26" ht="14" spans="1:3">
      <c r="A26" s="3592"/>
      <c r="B26" s="3586"/>
      <c r="C26" s="3586" t="s">
        <v>160</v>
      </c>
    </row>
    <row r="27" ht="14" spans="1:3">
      <c r="A27" s="3592"/>
      <c r="B27" s="3586"/>
      <c r="C27" s="3586" t="s">
        <v>161</v>
      </c>
    </row>
    <row r="28" ht="14" spans="1:3">
      <c r="A28" s="3592"/>
      <c r="B28" s="3586"/>
      <c r="C28" s="3586" t="s">
        <v>162</v>
      </c>
    </row>
    <row r="29" ht="14" spans="1:3">
      <c r="A29" s="3592"/>
      <c r="B29" s="3586"/>
      <c r="C29" s="3586" t="s">
        <v>163</v>
      </c>
    </row>
    <row r="30" ht="14" spans="1:3">
      <c r="A30" s="3592"/>
      <c r="B30" s="3586"/>
      <c r="C30" s="3586" t="s">
        <v>164</v>
      </c>
    </row>
    <row r="31" ht="14" spans="1:3">
      <c r="A31" s="3592"/>
      <c r="B31" s="3586"/>
      <c r="C31" s="3586" t="s">
        <v>165</v>
      </c>
    </row>
    <row r="32" ht="14" spans="1:3">
      <c r="A32" s="3592"/>
      <c r="B32" s="3586"/>
      <c r="C32" s="3586" t="s">
        <v>166</v>
      </c>
    </row>
    <row r="33" ht="14" spans="1:3">
      <c r="A33" s="3592"/>
      <c r="B33" s="3586"/>
      <c r="C33" s="3586" t="s">
        <v>167</v>
      </c>
    </row>
    <row r="34" spans="1:1">
      <c r="A34" s="3593" t="s">
        <v>168</v>
      </c>
    </row>
    <row r="37" spans="1:1">
      <c r="A37" s="3593" t="s">
        <v>169</v>
      </c>
    </row>
    <row r="38" ht="14" spans="1:1">
      <c r="A38" s="3594" t="s">
        <v>170</v>
      </c>
    </row>
    <row r="39" ht="14" spans="1:1">
      <c r="A39" s="3594" t="s">
        <v>171</v>
      </c>
    </row>
    <row r="40" ht="14" spans="1:1">
      <c r="A40" s="3594" t="s">
        <v>172</v>
      </c>
    </row>
    <row r="41" ht="14" spans="1:1">
      <c r="A41" s="3595" t="s">
        <v>173</v>
      </c>
    </row>
    <row r="42" ht="14"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0" customWidth="1"/>
    <col min="2" max="2" width="38.6272727272727" style="3540" customWidth="1"/>
    <col min="3" max="3" width="26" style="3540" customWidth="1"/>
    <col min="4" max="4" width="35" style="3540" hidden="1" customWidth="1"/>
    <col min="5" max="5" width="30.1272727272727" style="3540" customWidth="1"/>
    <col min="6" max="6" width="35.5" style="3540" customWidth="1"/>
    <col min="7" max="7" width="31" style="3540" customWidth="1"/>
    <col min="8" max="8" width="37.5" style="3540" hidden="1" customWidth="1"/>
    <col min="9" max="16384" width="22.6272727272727" style="3540"/>
  </cols>
  <sheetData>
    <row r="1" customHeight="1" spans="1:8">
      <c r="A1" s="3541"/>
      <c r="B1" s="3541"/>
      <c r="C1" s="3541"/>
      <c r="D1" s="3541"/>
      <c r="E1" s="3541"/>
      <c r="F1" s="3541"/>
      <c r="G1" s="3541"/>
      <c r="H1" s="3541"/>
    </row>
    <row r="2" customHeight="1" spans="1:8">
      <c r="A2" s="3542" t="s">
        <v>175</v>
      </c>
      <c r="B2" s="3543">
        <f ca="1">TODAY()</f>
        <v>45492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2024-07-19T06:39:23Z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A98D3C2E8D7F4756A630A2BD4874779C_12</vt:lpwstr>
  </property>
  <property fmtid="{D5CDD505-2E9C-101B-9397-08002B2CF9AE}" pid="3" name="KSOProductBuildVer">
    <vt:lpwstr>2052-12.1.0.17147</vt:lpwstr>
  </property>
</Properties>
</file>