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r:id="rId25"/>
    <sheet name="收益法（汇总）" sheetId="70" r:id="rId26"/>
    <sheet name="比较法-住宅" sheetId="21"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6" i="33" l="1"/>
  <c r="G36" i="33"/>
  <c r="E36" i="33"/>
  <c r="C36" i="33"/>
  <c r="I47" i="33"/>
  <c r="G47" i="33"/>
  <c r="I7" i="33"/>
  <c r="G7" i="33"/>
  <c r="E7" i="33"/>
  <c r="Y6" i="1"/>
  <c r="N6" i="1"/>
  <c r="B59" i="1"/>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C76" i="67"/>
  <c r="M22" i="15"/>
  <c r="M9" i="67"/>
  <c r="F37" i="67"/>
  <c r="E7" i="76"/>
  <c r="F43" i="15"/>
  <c r="F37" i="15"/>
  <c r="L47" i="15"/>
  <c r="E9" i="76"/>
  <c r="M6" i="67"/>
  <c r="F9" i="67"/>
  <c r="F7" i="67"/>
  <c r="B7" i="76"/>
  <c r="M28" i="15"/>
  <c r="F7" i="73"/>
  <c r="M24" i="67"/>
  <c r="F16" i="67"/>
  <c r="M26" i="15"/>
  <c r="F20" i="31"/>
  <c r="D7" i="73"/>
  <c r="M29" i="67"/>
  <c r="M9" i="15"/>
  <c r="E2" i="69"/>
  <c r="F4" i="73"/>
  <c r="F43" i="67"/>
  <c r="AO13" i="1"/>
  <c r="M24" i="15"/>
  <c r="F26" i="67"/>
  <c r="M28" i="67"/>
  <c r="D6" i="73"/>
  <c r="C76" i="15"/>
  <c r="M23" i="15"/>
  <c r="J15" i="67"/>
  <c r="E8" i="76"/>
  <c r="E11" i="76"/>
  <c r="E10" i="76"/>
  <c r="F36" i="67"/>
  <c r="M29" i="15"/>
  <c r="D4" i="73"/>
  <c r="F3" i="73"/>
  <c r="D34" i="9"/>
  <c r="D5" i="73"/>
  <c r="F38" i="15"/>
  <c r="B13" i="76"/>
  <c r="F7" i="15"/>
  <c r="F8" i="67"/>
  <c r="B10" i="76"/>
  <c r="D35" i="9"/>
  <c r="E13" i="76"/>
  <c r="L48" i="15"/>
  <c r="M8" i="67"/>
  <c r="B9" i="76"/>
  <c r="F8" i="15"/>
  <c r="F9" i="15"/>
  <c r="D3" i="73"/>
  <c r="B12" i="76"/>
  <c r="F40" i="15"/>
  <c r="L48" i="67"/>
  <c r="F36" i="15"/>
  <c r="F6" i="73"/>
  <c r="F6" i="15"/>
  <c r="F13" i="67"/>
  <c r="F13" i="15"/>
  <c r="F38" i="67"/>
  <c r="M22" i="67"/>
  <c r="AB36" i="33" l="1"/>
  <c r="S36" i="33"/>
  <c r="W32" i="33"/>
  <c r="C28" i="67"/>
  <c r="C40" i="68"/>
  <c r="C21" i="68"/>
  <c r="C40" i="69"/>
  <c r="AZ14"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D18" i="53" l="1"/>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2" i="37"/>
  <c r="D2" i="35"/>
  <c r="D2" i="36"/>
  <c r="D19" i="9"/>
  <c r="D2" i="34"/>
  <c r="L51" i="15"/>
  <c r="C102" i="9" l="1"/>
  <c r="C21" i="9"/>
  <c r="B3" i="33"/>
  <c r="D22" i="9"/>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9" i="1"/>
  <c r="AO10" i="1"/>
  <c r="AO6" i="1"/>
  <c r="AO8" i="1"/>
  <c r="D20" i="9"/>
  <c r="AO7" i="1"/>
  <c r="AO11" i="1"/>
  <c r="AO12" i="1"/>
  <c r="C103" i="9" l="1"/>
  <c r="D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18" i="9"/>
  <c r="C105" i="9" s="1"/>
  <c r="G118" i="9"/>
  <c r="G4" i="52" s="1"/>
  <c r="B52" i="72" s="1"/>
  <c r="H102" i="9" l="1"/>
  <c r="F118" i="9"/>
  <c r="H118" i="9"/>
  <c r="I4" i="52"/>
  <c r="E118" i="9"/>
  <c r="F4" i="52" l="1"/>
  <c r="B51" i="72" s="1"/>
  <c r="F119" i="9"/>
  <c r="F5" i="52" s="1"/>
  <c r="B53" i="72" s="1"/>
  <c r="E4" i="52"/>
  <c r="B48" i="72" s="1"/>
  <c r="D118" i="9"/>
  <c r="H4" i="52"/>
  <c r="H101" i="9"/>
  <c r="C104" i="9"/>
  <c r="H119" i="9"/>
  <c r="H5" i="52" s="1"/>
  <c r="C5" i="74"/>
  <c r="D7" i="53"/>
  <c r="B21" i="72" s="1"/>
  <c r="M48" i="9" l="1"/>
  <c r="D45" i="9"/>
  <c r="D5" i="53"/>
  <c r="H107" i="9"/>
  <c r="D4" i="52"/>
  <c r="B47" i="72" s="1"/>
  <c r="D119" i="9"/>
  <c r="D5" i="52" s="1"/>
  <c r="B49" i="72" s="1"/>
  <c r="B20" i="72" l="1"/>
  <c r="D6" i="53"/>
  <c r="B22" i="72" s="1"/>
  <c r="H108" i="9"/>
  <c r="D122" i="9"/>
  <c r="D13" i="53"/>
  <c r="M49" i="9"/>
  <c r="D52" i="9"/>
  <c r="C85" i="9"/>
  <c r="C93" i="9"/>
  <c r="C86" i="9" s="1"/>
  <c r="D53" i="9"/>
  <c r="C72" i="9"/>
  <c r="D55" i="9"/>
  <c r="M53" i="9" s="1"/>
  <c r="C64" i="9"/>
  <c r="C63" i="9" s="1"/>
  <c r="C67" i="9" s="1"/>
  <c r="C78" i="9"/>
  <c r="C73" i="9" s="1"/>
  <c r="C79" i="9" l="1"/>
  <c r="D59" i="9"/>
  <c r="M55" i="9" s="1"/>
  <c r="C68" i="9"/>
  <c r="D54" i="9" s="1"/>
  <c r="C6" i="74"/>
  <c r="D15" i="53"/>
  <c r="B31" i="72" s="1"/>
  <c r="C95" i="9"/>
  <c r="L68" i="9"/>
  <c r="M68" i="9" s="1"/>
  <c r="L66" i="9"/>
  <c r="M66" i="9" s="1"/>
  <c r="L63" i="9"/>
  <c r="M63" i="9" s="1"/>
  <c r="L67" i="9"/>
  <c r="M67" i="9" s="1"/>
  <c r="L65" i="9"/>
  <c r="M65" i="9" s="1"/>
  <c r="L64" i="9"/>
  <c r="M64" i="9" s="1"/>
  <c r="D8" i="52"/>
  <c r="D123" i="9"/>
  <c r="D9" i="52" s="1"/>
  <c r="C80" i="9"/>
  <c r="E80" i="9" s="1"/>
  <c r="E81" i="9" s="1"/>
  <c r="B30" i="72"/>
  <c r="D14" i="53"/>
  <c r="B32" i="72" s="1"/>
  <c r="C81" i="9" l="1"/>
  <c r="M69" i="9"/>
  <c r="N69" i="9" s="1"/>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<sst xmlns="http://schemas.openxmlformats.org/spreadsheetml/2006/main" count="7793" uniqueCount="3397">
  <si>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</si>
  <si>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</si>
  <si>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</si>
  <si>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</si>
  <si>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</si>
  <si>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</si>
  <si>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</si>
  <si>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</si>
  <si>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</si>
  <si>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</si>
  <si>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</si>
  <si>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</si>
  <si>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</si>
  <si>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</si>
  <si>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</si>
  <si>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</si>
  <si>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</si>
  <si>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</si>
  <si>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</si>
  <si>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</si>
  <si>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</si>
  <si>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</si>
  <si>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</si>
  <si>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</si>
  <si>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</si>
  <si>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</si>
  <si>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</si>
  <si>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</si>
  <si>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</si>
  <si>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</si>
  <si>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</si>
  <si>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</si>
  <si>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</si>
  <si>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</si>
  <si>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</si>
  <si>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</si>
  <si>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</si>
  <si>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</si>
  <si>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</si>
  <si>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</si>
  <si>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</si>
  <si>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</si>
  <si>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</si>
  <si>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</si>
  <si>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</si>
  <si>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</si>
  <si>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</si>
  <si>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</si>
  <si>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</si>
  <si>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</si>
  <si>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</si>
  <si>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</si>
  <si>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</si>
  <si>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</si>
  <si>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</si>
  <si>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</si>
  <si>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</si>
  <si>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</si>
  <si>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</si>
  <si>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</si>
  <si>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</si>
  <si>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</si>
  <si>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</si>
  <si>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</si>
  <si>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</si>
  <si>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</si>
  <si>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</si>
  <si>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</si>
  <si>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</si>
  <si>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</si>
  <si>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</si>
  <si>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</si>
  <si>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</si>
  <si>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</si>
  <si>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</si>
  <si>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</si>
  <si>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</si>
  <si>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</si>
  <si>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</si>
  <si>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</si>
  <si>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</si>
  <si>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</si>
  <si>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</si>
  <si>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</si>
  <si>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</si>
  <si>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</si>
  <si>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</si>
  <si>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</si>
  <si>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</si>
  <si>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</si>
  <si>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</si>
  <si>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</si>
  <si>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</si>
  <si>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</si>
  <si>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</si>
  <si>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</si>
  <si>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</si>
  <si>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</si>
  <si>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</si>
  <si>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</si>
  <si>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</si>
  <si>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</si>
  <si>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</si>
  <si>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</si>
  <si>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</si>
  <si>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</si>
  <si>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</si>
  <si>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</si>
  <si>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</si>
  <si>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</si>
  <si>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</si>
  <si>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</si>
  <si>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</si>
  <si>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</si>
  <si>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</si>
  <si>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</si>
  <si>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</si>
  <si>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</si>
  <si>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</si>
  <si>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</si>
  <si>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</si>
  <si>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</si>
  <si>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</si>
  <si>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</si>
  <si>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</si>
  <si>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</si>
  <si>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</si>
  <si>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</si>
  <si>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</si>
  <si>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</si>
  <si>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</si>
  <si>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</si>
  <si>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</si>
  <si>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</si>
  <si>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</si>
  <si>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</si>
  <si>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</si>
  <si>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</si>
  <si>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</si>
  <si>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</si>
  <si>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</si>
  <si>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</si>
  <si>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</si>
  <si>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</si>
  <si>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</si>
  <si>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</si>
  <si>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</si>
  <si>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</si>
  <si>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</si>
  <si>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</si>
  <si>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</si>
  <si>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</si>
  <si>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</si>
  <si>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</si>
  <si>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</si>
  <si>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</si>
  <si>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</si>
  <si>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</si>
  <si>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</si>
  <si>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</si>
  <si>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</si>
  <si>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</si>
  <si>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</si>
  <si>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</si>
  <si>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</si>
  <si>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</si>
  <si>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</si>
  <si>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</si>
  <si>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</si>
  <si>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</si>
  <si>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</si>
  <si>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</si>
  <si>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</si>
  <si>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</si>
  <si>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</si>
  <si>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</si>
  <si>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</si>
  <si>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</si>
  <si>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</si>
  <si>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</si>
  <si>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</si>
  <si>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</si>
  <si>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</si>
  <si>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</si>
  <si>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</si>
  <si>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</si>
  <si>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</si>
  <si>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</si>
  <si>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</si>
  <si>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</si>
  <si>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</si>
  <si>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</si>
  <si>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</si>
  <si>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</si>
  <si>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</si>
  <si>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</si>
  <si>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</si>
  <si>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</si>
  <si>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</si>
  <si>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</si>
  <si>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</si>
  <si>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</si>
  <si>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</si>
  <si>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</si>
  <si>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</si>
  <si>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</si>
  <si>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</si>
  <si>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</si>
  <si>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</si>
  <si>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</si>
  <si>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</si>
  <si>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</si>
  <si>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</si>
  <si>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</si>
  <si>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</si>
  <si>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</si>
  <si>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</si>
  <si>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</si>
  <si>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</si>
  <si>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</si>
  <si>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</si>
  <si>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</si>
  <si>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</si>
  <si>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</si>
  <si>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</si>
  <si>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</si>
  <si>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</si>
  <si>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</si>
  <si>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</si>
  <si>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</si>
  <si>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</si>
  <si>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</si>
  <si>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</si>
  <si>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</si>
  <si>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</si>
  <si>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</si>
  <si>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</si>
  <si>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</si>
  <si>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</si>
  <si>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</si>
  <si>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</si>
  <si>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</si>
  <si>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</si>
  <si>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</si>
  <si>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</si>
  <si>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</si>
  <si>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</si>
  <si>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</si>
  <si>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</si>
  <si>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</si>
  <si>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</si>
  <si>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</si>
  <si>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</si>
  <si>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</si>
  <si>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</si>
  <si>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</si>
  <si>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</si>
  <si>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</si>
  <si>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</si>
  <si>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</si>
  <si>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</si>
  <si>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</si>
  <si>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</si>
  <si>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</si>
  <si>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</si>
  <si>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</si>
  <si>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</si>
  <si>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</si>
  <si>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</si>
  <si>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</si>
  <si>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</si>
  <si>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</si>
  <si>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</si>
  <si>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</si>
  <si>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</si>
  <si>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</si>
  <si>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</si>
  <si>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</si>
  <si>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</si>
  <si>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</si>
  <si>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</si>
  <si>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</si>
  <si>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</si>
  <si>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</si>
  <si>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</si>
  <si>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</si>
  <si>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</si>
  <si>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</si>
  <si>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</si>
  <si>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</si>
  <si>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</si>
  <si>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</si>
  <si>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</si>
  <si>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</si>
  <si>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</si>
  <si>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</si>
  <si>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</si>
  <si>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</si>
  <si>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</si>
  <si>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</si>
  <si>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</si>
  <si>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</si>
  <si>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</si>
  <si>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</si>
  <si>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</si>
  <si>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</si>
  <si>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</si>
  <si>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</si>
  <si>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</si>
  <si>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</si>
  <si>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</si>
  <si>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</si>
  <si>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</si>
  <si>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</si>
  <si>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</si>
  <si>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</si>
  <si>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</si>
  <si>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</si>
  <si>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</si>
  <si>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</si>
  <si>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</si>
  <si>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</si>
  <si>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</si>
  <si>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</si>
  <si>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</si>
  <si>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</si>
  <si>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</si>
  <si>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</si>
  <si>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</si>
  <si>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</si>
  <si>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</si>
  <si>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</si>
  <si>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</si>
  <si>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</si>
  <si>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</si>
  <si>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</si>
  <si>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</si>
  <si>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</si>
  <si>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</si>
  <si>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</si>
  <si>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</si>
  <si>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</si>
  <si>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</si>
  <si>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</si>
  <si>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</si>
  <si>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</si>
  <si>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</si>
  <si>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</si>
  <si>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</si>
  <si>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</si>
  <si>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</si>
  <si>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</si>
  <si>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</si>
  <si>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</si>
  <si>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</si>
  <si>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</si>
  <si>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</si>
  <si>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</si>
  <si>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</si>
  <si>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</si>
  <si>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</si>
  <si>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</si>
  <si>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</si>
  <si>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</si>
  <si>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</si>
  <si>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</si>
  <si>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</si>
  <si>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</si>
  <si>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</si>
  <si>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</si>
  <si>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</si>
  <si>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</si>
  <si>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</si>
  <si>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</si>
  <si>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</si>
  <si>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</si>
  <si>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</si>
  <si>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</si>
  <si>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</si>
  <si>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</si>
  <si>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</si>
  <si>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</si>
  <si>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</si>
  <si>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</si>
  <si>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</si>
  <si>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</si>
  <si>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</si>
  <si>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</si>
  <si>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</si>
  <si>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</si>
  <si>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</si>
  <si>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</si>
  <si>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</si>
  <si>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</si>
  <si>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</si>
  <si>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</si>
  <si>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</si>
  <si>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</si>
  <si>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</si>
  <si>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</si>
  <si>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</si>
  <si>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</si>
  <si>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</si>
  <si>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</si>
  <si>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</si>
  <si>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</si>
  <si>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</si>
  <si>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</si>
  <si>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</si>
  <si>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</si>
  <si>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</si>
  <si>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</si>
  <si>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</si>
  <si>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</si>
  <si>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</si>
  <si>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</si>
  <si>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</si>
  <si>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</si>
  <si>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</si>
  <si>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</si>
  <si>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</si>
  <si>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</si>
  <si>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</si>
  <si>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</si>
  <si>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</si>
  <si>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</si>
  <si>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</si>
  <si>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</si>
  <si>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</si>
  <si>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</si>
  <si>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</si>
  <si>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</si>
  <si>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</si>
  <si>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</si>
  <si>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</si>
  <si>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</si>
  <si>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</si>
  <si>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</si>
  <si>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</si>
  <si>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</si>
  <si>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</si>
  <si>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</si>
  <si>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</si>
  <si>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</si>
  <si>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</si>
  <si>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</si>
  <si>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</si>
  <si>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</si>
  <si>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</si>
  <si>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</si>
  <si>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</si>
  <si>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</si>
  <si>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</si>
  <si>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</si>
  <si>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</si>
  <si>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</si>
  <si>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</si>
  <si>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</si>
  <si>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</si>
  <si>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</si>
  <si>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</si>
  <si>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</si>
  <si>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</si>
  <si>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</si>
  <si>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</si>
  <si>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</si>
  <si>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</si>
  <si>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</si>
  <si>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</si>
  <si>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</si>
  <si>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</si>
  <si>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</si>
  <si>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</si>
  <si>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</si>
  <si>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</si>
  <si>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</si>
  <si>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</si>
  <si>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</si>
  <si>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</si>
  <si>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</si>
  <si>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</si>
  <si>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</si>
  <si>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</si>
  <si>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</si>
  <si>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</si>
  <si>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</si>
  <si>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</si>
  <si>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</si>
  <si>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</si>
  <si>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</si>
  <si>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</si>
  <si>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</si>
  <si>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</si>
  <si>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</si>
  <si>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</si>
  <si>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</si>
  <si>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</si>
  <si>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</si>
  <si>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</si>
  <si>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</si>
  <si>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</si>
  <si>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</si>
  <si>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</si>
  <si>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</si>
  <si>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</si>
  <si>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</si>
  <si>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</si>
  <si>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</si>
  <si>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</si>
  <si>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</si>
  <si>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</si>
  <si>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</si>
  <si>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</si>
  <si>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</si>
  <si>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</si>
  <si>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</si>
  <si>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</si>
  <si>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</si>
  <si>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</si>
  <si>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</si>
  <si>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</si>
  <si>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</si>
  <si>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</si>
  <si>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</si>
  <si>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</si>
  <si>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</si>
  <si>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</si>
  <si>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</si>
  <si>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</si>
  <si>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</si>
  <si>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</si>
  <si>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</si>
  <si>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</si>
  <si>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</si>
  <si>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</si>
  <si>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</si>
  <si>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</si>
  <si>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</si>
  <si>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</si>
  <si>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</si>
  <si>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</si>
  <si>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</si>
  <si>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</si>
  <si>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</si>
  <si>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</si>
  <si>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</si>
  <si>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</si>
  <si>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</si>
  <si>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</si>
  <si>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</si>
  <si>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</si>
  <si>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</si>
  <si>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</si>
  <si>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</si>
  <si>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</si>
  <si>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</si>
  <si>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</si>
  <si>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</si>
  <si>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</si>
  <si>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</si>
  <si>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</si>
  <si>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</si>
  <si>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</si>
  <si>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</si>
  <si>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</si>
  <si>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</si>
  <si>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</si>
  <si>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</si>
  <si>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</si>
  <si>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</si>
  <si>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</si>
  <si>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</si>
  <si>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</si>
  <si>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</si>
  <si>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</si>
  <si>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</si>
  <si>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</si>
  <si>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</si>
  <si>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</si>
  <si>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</si>
  <si>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</si>
  <si>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</si>
  <si>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</si>
  <si>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</si>
  <si>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</si>
  <si>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</si>
  <si>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</si>
  <si>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</si>
  <si>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</si>
  <si>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</si>
  <si>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</si>
  <si>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</si>
  <si>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</si>
  <si>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</si>
  <si>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</si>
  <si>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</si>
  <si>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</si>
  <si>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</si>
  <si>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</si>
  <si>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</si>
  <si>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</si>
  <si>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</si>
  <si>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</si>
  <si>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</si>
  <si>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</si>
  <si>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</si>
  <si>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</si>
  <si>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</si>
  <si>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</si>
  <si>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</si>
  <si>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</si>
  <si>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</si>
  <si>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</si>
  <si>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</si>
  <si>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</si>
  <si>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</si>
  <si>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</si>
  <si>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</si>
  <si>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</si>
  <si>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</si>
  <si>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</si>
  <si>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</si>
  <si>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</si>
  <si>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</si>
  <si>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</si>
  <si>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</si>
  <si>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</si>
  <si>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</si>
  <si>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</si>
  <si>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</si>
  <si>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</si>
  <si>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</si>
  <si>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</si>
  <si>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</si>
  <si>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</si>
  <si>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</si>
  <si>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</si>
  <si>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</si>
  <si>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</si>
  <si>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</si>
  <si>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</si>
  <si>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</si>
  <si>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</si>
  <si>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</si>
  <si>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</si>
  <si>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</si>
  <si>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</si>
  <si>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</si>
  <si>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</si>
  <si>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</si>
  <si>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</si>
  <si>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</si>
  <si>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</si>
  <si>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</si>
  <si>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</si>
  <si>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</si>
  <si>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</si>
  <si>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</si>
  <si>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</si>
  <si>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</si>
  <si>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</si>
  <si>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</si>
  <si>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</si>
  <si>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</si>
  <si>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</si>
  <si>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</si>
  <si>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</si>
  <si>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</si>
  <si>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</si>
  <si>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</si>
  <si>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</si>
  <si>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</si>
  <si>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</si>
  <si>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</si>
  <si>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</si>
  <si>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</si>
  <si>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</si>
  <si>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</si>
  <si>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</si>
  <si>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</si>
  <si>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</si>
  <si>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</si>
  <si>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</si>
  <si>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</si>
  <si>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</si>
  <si>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</si>
  <si>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</si>
  <si>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</si>
  <si>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</si>
  <si>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</si>
  <si>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</si>
  <si>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</si>
  <si>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</si>
  <si>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</si>
  <si>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</si>
  <si>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</si>
  <si>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</si>
  <si>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</si>
  <si>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</si>
  <si>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</si>
  <si>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</si>
  <si>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</si>
  <si>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</si>
  <si>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</si>
  <si>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</si>
  <si>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</si>
  <si>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</si>
  <si>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</si>
  <si>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</si>
  <si>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</si>
  <si>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</si>
  <si>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</si>
  <si>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</si>
  <si>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</si>
  <si>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</si>
  <si>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</si>
  <si>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</si>
  <si>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</si>
  <si>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</si>
  <si>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</si>
  <si>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</si>
  <si>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</si>
  <si>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</si>
  <si>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</si>
  <si>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</si>
  <si>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</si>
  <si>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</si>
  <si>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</si>
  <si>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</si>
  <si>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</si>
  <si>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</si>
  <si>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</si>
  <si>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</si>
  <si>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</si>
  <si>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</si>
  <si>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</si>
  <si>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</si>
  <si>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</si>
  <si>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</si>
  <si>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</si>
  <si>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</si>
  <si>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</si>
  <si>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</si>
  <si>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</si>
  <si>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</si>
  <si>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</si>
  <si>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</si>
  <si>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</si>
  <si>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</si>
  <si>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</si>
  <si>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</si>
  <si>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</si>
  <si>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</si>
  <si>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</si>
  <si>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</si>
  <si>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</si>
  <si>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</si>
  <si>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</si>
  <si>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</si>
  <si>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</si>
  <si>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</si>
  <si>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</si>
  <si>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</si>
  <si>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</si>
  <si>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</si>
  <si>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</si>
  <si>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</si>
  <si>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</si>
  <si>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</si>
  <si>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</si>
  <si>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</si>
  <si>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</si>
  <si>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</si>
  <si>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</si>
  <si>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</si>
  <si>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</si>
  <si>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</si>
  <si>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</si>
  <si>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</si>
  <si>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</si>
  <si>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</si>
  <si>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</si>
  <si>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</si>
  <si>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</si>
  <si>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</si>
  <si>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</si>
  <si>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</si>
  <si>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</si>
  <si>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</si>
  <si>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</si>
  <si>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</si>
  <si>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</si>
  <si>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</si>
  <si>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</si>
  <si>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</si>
  <si>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</si>
  <si>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</si>
  <si>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</si>
  <si>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</si>
  <si>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</si>
  <si>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</si>
  <si>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</si>
  <si>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</si>
  <si>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</si>
  <si>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</si>
  <si>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</si>
  <si>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</si>
  <si>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</si>
  <si>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</si>
  <si>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</si>
  <si>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</si>
  <si>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</si>
  <si>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</si>
  <si>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</si>
  <si>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</si>
  <si>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</si>
  <si>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</si>
  <si>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</si>
  <si>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</si>
  <si>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</si>
  <si>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</si>
  <si>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</si>
  <si>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</si>
  <si>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</si>
  <si>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</si>
  <si>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</si>
  <si>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</si>
  <si>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</si>
  <si>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</si>
  <si>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</si>
  <si>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</si>
  <si>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</si>
  <si>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</si>
  <si>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</si>
  <si>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</si>
  <si>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</si>
  <si>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</si>
  <si>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</si>
  <si>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</si>
  <si>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</si>
  <si>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</si>
  <si>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</si>
  <si>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</si>
  <si>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</si>
  <si>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</si>
  <si>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</si>
  <si>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</si>
  <si>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</si>
  <si>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</si>
  <si>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</si>
  <si>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</si>
  <si>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</si>
  <si>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</si>
  <si>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</si>
  <si>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</si>
  <si>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</si>
  <si>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</si>
  <si>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</si>
  <si>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</si>
  <si>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</si>
  <si>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</si>
  <si>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</si>
  <si>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</si>
  <si>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</si>
  <si>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</si>
  <si>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</si>
  <si>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</si>
  <si>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</si>
  <si>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</si>
  <si>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</si>
  <si>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</si>
  <si>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</si>
  <si>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</si>
  <si>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</si>
  <si>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</si>
  <si>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</si>
  <si>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</si>
  <si>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</si>
  <si>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</si>
  <si>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</si>
  <si>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</si>
  <si>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</si>
  <si>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</si>
  <si>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</si>
  <si>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</si>
  <si>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</si>
  <si>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</si>
  <si>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</si>
  <si>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</si>
  <si>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</si>
  <si>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</si>
  <si>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</si>
  <si>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</si>
  <si>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</si>
  <si>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</si>
  <si>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</si>
  <si>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</si>
  <si>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</si>
  <si>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</si>
  <si>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</si>
  <si>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</si>
  <si>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</si>
  <si>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</si>
  <si>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</si>
  <si>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</si>
  <si>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</si>
  <si>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</si>
  <si>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</si>
  <si>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</si>
  <si>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</si>
  <si>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</si>
  <si>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</si>
  <si>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</si>
  <si>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</si>
  <si>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</si>
  <si>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</si>
  <si>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</si>
  <si>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</si>
  <si>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</si>
  <si>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</si>
  <si>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</si>
  <si>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</si>
  <si>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</si>
  <si>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</si>
  <si>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</si>
  <si>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</si>
  <si>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</si>
  <si>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</si>
  <si>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</si>
  <si>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</si>
  <si>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</si>
  <si>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</si>
  <si>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</si>
  <si>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</si>
  <si>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</si>
  <si>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</si>
  <si>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</si>
  <si>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</si>
  <si>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</si>
  <si>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</si>
  <si>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</si>
  <si>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</si>
  <si>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</si>
  <si>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</si>
  <si>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</si>
  <si>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</si>
  <si>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</si>
  <si>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</si>
  <si>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</si>
  <si>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</si>
  <si>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</si>
  <si>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</si>
  <si>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</si>
  <si>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</si>
  <si>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</si>
  <si>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</si>
  <si>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</si>
  <si>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</si>
  <si>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</si>
  <si>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</si>
  <si>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</si>
  <si>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</si>
  <si>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</si>
  <si>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</si>
  <si>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</si>
  <si>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</si>
  <si>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</si>
  <si>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</si>
  <si>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</si>
  <si>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</si>
  <si>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</si>
  <si>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</si>
  <si>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</si>
  <si>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</si>
  <si>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</si>
  <si>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</si>
  <si>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</si>
  <si>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</si>
  <si>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</si>
  <si>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</si>
  <si>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</si>
  <si>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</si>
  <si>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</si>
  <si>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</si>
  <si>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</si>
  <si>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</si>
  <si>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</si>
  <si>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</si>
  <si>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</si>
  <si>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</si>
  <si>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</si>
  <si>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</si>
  <si>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</si>
  <si>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</si>
  <si>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</si>
  <si>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</si>
  <si>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</si>
  <si>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</si>
  <si>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</si>
  <si>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</si>
  <si>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</si>
  <si>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</si>
  <si>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</si>
  <si>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</si>
  <si>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</si>
  <si>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</si>
  <si>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</si>
  <si>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</si>
  <si>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</si>
  <si>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</si>
  <si>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</si>
  <si>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</si>
  <si>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</si>
  <si>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</si>
  <si>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</si>
  <si>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</si>
  <si>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</si>
  <si>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</si>
  <si>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</si>
  <si>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</si>
  <si>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</si>
  <si>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</si>
  <si>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</si>
  <si>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</si>
  <si>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</si>
  <si>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</si>
  <si>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</si>
  <si>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</si>
  <si>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</si>
  <si>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</si>
  <si>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</si>
  <si>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</si>
  <si>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</si>
  <si>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</si>
  <si>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</si>
  <si>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</si>
  <si>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</si>
  <si>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</si>
  <si>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</si>
  <si>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</si>
  <si>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</si>
  <si>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</si>
  <si>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</si>
  <si>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</si>
  <si>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</si>
  <si>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</si>
  <si>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</si>
  <si>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</si>
  <si>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</si>
  <si>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</si>
  <si>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</si>
  <si>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</si>
  <si>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</si>
  <si>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</si>
  <si>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</si>
  <si>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</si>
  <si>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</si>
  <si>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</si>
  <si>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</si>
  <si>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</si>
  <si>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</si>
  <si>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</si>
  <si>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</si>
  <si>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</si>
  <si>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</si>
  <si>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</si>
  <si>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</si>
  <si>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</si>
  <si>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</si>
  <si>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</si>
  <si>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</si>
  <si>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</si>
  <si>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</si>
  <si>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</si>
  <si>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</si>
  <si>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</si>
  <si>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</si>
  <si>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</si>
  <si>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</si>
  <si>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</si>
  <si>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</si>
  <si>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</si>
  <si>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</si>
  <si>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</si>
  <si>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</si>
  <si>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</si>
  <si>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</si>
  <si>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</si>
  <si>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</si>
  <si>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</si>
  <si>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</si>
  <si>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</si>
  <si>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</si>
  <si>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</si>
  <si>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</si>
  <si>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</si>
  <si>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</si>
  <si>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</si>
  <si>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</si>
  <si>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</si>
  <si>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</si>
  <si>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</si>
  <si>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</si>
  <si>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</si>
  <si>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</si>
  <si>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</si>
  <si>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</si>
  <si>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</si>
  <si>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</si>
  <si>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</si>
  <si>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</si>
  <si>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</si>
  <si>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</si>
  <si>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</si>
  <si>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</si>
  <si>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</si>
  <si>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</si>
  <si>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</si>
  <si>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</si>
  <si>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</si>
  <si>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</si>
  <si>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</si>
  <si>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</si>
  <si>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</si>
  <si>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</si>
  <si>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</si>
  <si>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</si>
  <si>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</si>
  <si>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</si>
  <si>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</si>
  <si>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</si>
  <si>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</si>
  <si>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</si>
  <si>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</si>
  <si>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</si>
  <si>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</si>
  <si>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</si>
  <si>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</si>
  <si>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</si>
  <si>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</si>
  <si>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</si>
  <si>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</si>
  <si>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</si>
  <si>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</si>
  <si>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</si>
  <si>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</si>
  <si>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</si>
  <si>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</si>
  <si>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</si>
  <si>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</si>
  <si>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</si>
  <si>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</si>
  <si>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</si>
  <si>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</si>
  <si>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</si>
  <si>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</si>
  <si>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</si>
  <si>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</si>
  <si>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</si>
  <si>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</si>
  <si>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</si>
  <si>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</si>
  <si>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</si>
  <si>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</si>
  <si>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</si>
  <si>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</si>
  <si>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</si>
  <si>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</si>
  <si>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</si>
  <si>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</si>
  <si>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</si>
  <si>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</si>
  <si>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</si>
  <si>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</si>
  <si>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</si>
  <si>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</si>
  <si>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</si>
  <si>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</si>
  <si>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</si>
  <si>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</si>
  <si>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</si>
  <si>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</si>
  <si>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</si>
  <si>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</si>
  <si>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</si>
  <si>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</si>
  <si>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</si>
  <si>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</si>
  <si>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</si>
  <si>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</si>
  <si>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</si>
  <si>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</si>
  <si>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</si>
  <si>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</si>
  <si>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</si>
  <si>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</si>
  <si>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</si>
  <si>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</si>
  <si>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</si>
  <si>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</si>
  <si>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</si>
  <si>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</si>
  <si>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</si>
  <si>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</si>
  <si>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</si>
  <si>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</si>
  <si>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</si>
  <si>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</si>
  <si>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</si>
  <si>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</si>
  <si>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</si>
  <si>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</si>
  <si>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</si>
  <si>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</si>
  <si>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</si>
  <si>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</si>
  <si>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</si>
  <si>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</si>
  <si>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</si>
  <si>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</si>
  <si>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</si>
  <si>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</si>
  <si>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</si>
  <si>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</si>
  <si>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</si>
  <si>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</si>
  <si>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</si>
  <si>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</si>
  <si>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</si>
  <si>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</si>
  <si>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</si>
  <si>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</si>
  <si>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</si>
  <si>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</si>
  <si>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</si>
  <si>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</si>
  <si>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</si>
  <si>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</si>
  <si>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</si>
  <si>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</si>
  <si>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</si>
  <si>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</si>
  <si>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</si>
  <si>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</si>
  <si>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</si>
  <si>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</si>
  <si>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</si>
  <si>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</si>
  <si>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</si>
  <si>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</si>
  <si>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</si>
  <si>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</si>
  <si>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</si>
  <si>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</si>
  <si>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</si>
  <si>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</si>
  <si>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</si>
  <si>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</si>
  <si>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</si>
  <si>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</si>
  <si>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</si>
  <si>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</si>
  <si>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</si>
  <si>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</si>
  <si>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</si>
  <si>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</si>
  <si>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</si>
  <si>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</si>
  <si>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</si>
  <si>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</si>
  <si>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</si>
  <si>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</si>
  <si>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</si>
  <si>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</si>
  <si>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</si>
  <si>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</si>
  <si>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</si>
  <si>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</si>
  <si>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</si>
  <si>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</si>
  <si>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</si>
  <si>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</si>
  <si>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</si>
  <si>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</si>
  <si>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</si>
  <si>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</si>
  <si>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</si>
  <si>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</si>
  <si>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</si>
  <si>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</si>
  <si>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</si>
  <si>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</si>
  <si>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</si>
  <si>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</si>
  <si>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</si>
  <si>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</si>
  <si>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</si>
  <si>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</si>
  <si>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</si>
  <si>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</si>
  <si>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</si>
  <si>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</si>
  <si>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</si>
  <si>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</si>
  <si>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</si>
  <si>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</si>
  <si>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</si>
  <si>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</si>
  <si>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</si>
  <si>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</si>
  <si>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</si>
  <si>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</si>
  <si>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</si>
  <si>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</si>
  <si>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</si>
  <si>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</si>
  <si>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</si>
  <si>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</si>
  <si>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</si>
  <si>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</si>
  <si>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</si>
  <si>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</si>
  <si>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</si>
  <si>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</si>
  <si>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</si>
  <si>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</si>
  <si>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</si>
  <si>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</si>
  <si>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</si>
  <si>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</si>
  <si>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</si>
  <si>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</si>
  <si>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</si>
  <si>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</si>
  <si>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</si>
  <si>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</si>
  <si>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</si>
  <si>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</si>
  <si>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</si>
  <si>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</si>
  <si>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</si>
  <si>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</si>
  <si>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</si>
  <si>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</si>
  <si>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</si>
  <si>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</si>
  <si>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</si>
  <si>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</si>
  <si>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</si>
  <si>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</si>
  <si>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</si>
  <si>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</si>
  <si>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</si>
  <si>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</si>
  <si>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</si>
  <si>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</si>
  <si>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</si>
  <si>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</si>
  <si>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</si>
  <si>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</si>
  <si>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</si>
  <si>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</si>
  <si>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</si>
  <si>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</si>
  <si>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</si>
  <si>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</si>
  <si>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</si>
  <si>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</si>
  <si>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</si>
  <si>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</si>
  <si>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</si>
  <si>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</si>
  <si>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</si>
  <si>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</si>
  <si>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</si>
  <si>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</si>
  <si>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</si>
  <si>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</si>
  <si>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</si>
  <si>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</si>
  <si>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</si>
  <si>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</si>
  <si>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</si>
  <si>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</si>
  <si>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</si>
  <si>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</si>
  <si>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</si>
  <si>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</si>
  <si>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</si>
  <si>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</si>
  <si>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</si>
  <si>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</si>
  <si>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</si>
  <si>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</si>
  <si>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</si>
  <si>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</si>
  <si>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</si>
  <si>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</si>
  <si>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</si>
  <si>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</si>
  <si>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</si>
  <si>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</si>
  <si>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</si>
  <si>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</si>
  <si>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</si>
  <si>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</si>
  <si>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</si>
  <si>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</si>
  <si>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</si>
  <si>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</si>
  <si>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</si>
  <si>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</si>
  <si>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</si>
  <si>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</si>
  <si>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</si>
  <si>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</si>
  <si>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</si>
  <si>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</si>
  <si>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</si>
  <si>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</si>
  <si>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</si>
  <si>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</si>
  <si>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</si>
  <si>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</si>
  <si>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</si>
  <si>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</si>
  <si>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</si>
  <si>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</si>
  <si>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</si>
  <si>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</si>
  <si>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</si>
  <si>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</si>
  <si>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</si>
  <si>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</si>
  <si>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</si>
  <si>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</si>
  <si>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</si>
  <si>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</si>
  <si>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</si>
  <si>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</si>
  <si>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</si>
  <si>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</si>
  <si>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</si>
  <si>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</si>
  <si>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</si>
  <si>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</si>
  <si>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</si>
  <si>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</si>
  <si>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</si>
  <si>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</si>
  <si>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</si>
  <si>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</si>
  <si>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</si>
  <si>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</si>
  <si>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</si>
  <si>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</si>
  <si>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</si>
  <si>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</si>
  <si>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</si>
  <si>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</si>
  <si>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</si>
  <si>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</si>
  <si>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</si>
  <si>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</si>
  <si>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</si>
  <si>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</si>
  <si>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</si>
  <si>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</si>
  <si>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</si>
  <si>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</si>
  <si>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</si>
  <si>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</si>
  <si>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</si>
  <si>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</si>
  <si>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</si>
  <si>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</si>
  <si>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</si>
  <si>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</si>
  <si>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</si>
  <si>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</si>
  <si>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</si>
  <si>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</si>
  <si>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</si>
  <si>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</si>
  <si>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</si>
  <si>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</si>
  <si>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</si>
  <si>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</si>
  <si>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</si>
  <si>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</si>
  <si>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</si>
  <si>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</si>
  <si>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</si>
  <si>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</si>
  <si>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</si>
  <si>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</si>
  <si>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</si>
  <si>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</si>
  <si>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</si>
  <si>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</si>
  <si>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</si>
  <si>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</si>
  <si>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</si>
  <si>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</si>
  <si>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</si>
  <si>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</si>
  <si>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</si>
  <si>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</si>
  <si>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</si>
  <si>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</si>
  <si>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</si>
  <si>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</si>
  <si>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</si>
  <si>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</si>
  <si>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</si>
  <si>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</si>
  <si>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</si>
  <si>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</si>
  <si>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</si>
  <si>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</si>
  <si>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</si>
  <si>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</si>
  <si>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</si>
  <si>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</si>
  <si>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</si>
  <si>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</si>
  <si>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</si>
  <si>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</si>
  <si>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</si>
  <si>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</si>
  <si>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</si>
  <si>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</si>
  <si>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</si>
  <si>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</si>
  <si>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</si>
  <si>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</si>
  <si>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</si>
  <si>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</si>
  <si>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</si>
  <si>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</si>
  <si>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</si>
  <si>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</si>
  <si>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</si>
  <si>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</si>
  <si>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</si>
  <si>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</si>
  <si>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</si>
  <si>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</si>
  <si>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</si>
  <si>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</si>
  <si>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</si>
  <si>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</si>
  <si>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</si>
  <si>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</si>
  <si>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</si>
  <si>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</si>
  <si>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</si>
  <si>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</si>
  <si>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</si>
  <si>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</si>
  <si>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</si>
  <si>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</si>
  <si>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</si>
  <si>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</si>
  <si>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</si>
  <si>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</si>
  <si>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</si>
  <si>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</si>
  <si>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</si>
  <si>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</si>
  <si>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</si>
  <si>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</si>
  <si>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</si>
  <si>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</si>
  <si>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</si>
  <si>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</si>
  <si>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</si>
  <si>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</si>
  <si>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</si>
  <si>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</si>
  <si>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</si>
  <si>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</si>
  <si>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</si>
  <si>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</si>
  <si>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</si>
  <si>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</si>
  <si>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</si>
  <si>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</si>
  <si>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</si>
  <si>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</si>
  <si>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</si>
  <si>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</si>
  <si>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</si>
  <si>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</si>
  <si>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</si>
  <si>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</si>
  <si>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</si>
  <si>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</si>
  <si>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</si>
  <si>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</si>
  <si>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</si>
  <si>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</si>
  <si>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</si>
  <si>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</si>
  <si>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</si>
  <si>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</si>
  <si>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</si>
  <si>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</si>
  <si>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</si>
  <si>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</si>
  <si>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</si>
  <si>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</si>
  <si>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</si>
  <si>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</si>
  <si>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</si>
  <si>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</si>
  <si>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</si>
  <si>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</si>
  <si>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</si>
  <si>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</si>
  <si>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</si>
  <si>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</si>
  <si>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</si>
  <si>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</si>
  <si>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</si>
  <si>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</si>
  <si>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</si>
  <si>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</si>
  <si>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</si>
  <si>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</si>
  <si>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</si>
  <si>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</si>
  <si>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</si>
  <si>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</si>
  <si>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</si>
  <si>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</si>
  <si>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</si>
  <si>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</si>
  <si>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</si>
  <si>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</si>
  <si>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</si>
  <si>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</si>
  <si>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</si>
  <si>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</si>
  <si>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</si>
  <si>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</si>
  <si>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</si>
  <si>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</si>
  <si>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</si>
  <si>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</si>
  <si>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</si>
  <si>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</si>
  <si>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</si>
  <si>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</si>
  <si>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</si>
  <si>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</si>
  <si>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</si>
  <si>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</si>
  <si>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</si>
  <si>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</si>
  <si>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</si>
  <si>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</si>
  <si>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</si>
  <si>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</si>
  <si>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</si>
  <si>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</si>
  <si>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</si>
  <si>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</si>
  <si>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</si>
  <si>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</si>
  <si>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</si>
  <si>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</si>
  <si>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</si>
  <si>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</si>
  <si>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</si>
  <si>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</si>
  <si>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</si>
  <si>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</si>
  <si>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</si>
  <si>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</si>
  <si>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</si>
  <si>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</si>
  <si>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</si>
  <si>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</si>
  <si>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</si>
  <si>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</si>
  <si>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</si>
  <si>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</si>
  <si>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</si>
  <si>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</si>
  <si>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</si>
  <si>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</si>
  <si>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</si>
  <si>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</si>
  <si>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</si>
  <si>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</si>
  <si>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</si>
  <si>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</si>
  <si>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</si>
  <si>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</si>
  <si>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</si>
  <si>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</si>
  <si>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</si>
  <si>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</si>
  <si>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</si>
  <si>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</si>
  <si>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</si>
  <si>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</si>
  <si>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</si>
  <si>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</si>
  <si>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</si>
  <si>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</si>
  <si>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</si>
  <si>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</si>
  <si>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</si>
  <si>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</si>
  <si>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</si>
  <si>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</si>
  <si>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</si>
  <si>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</si>
  <si>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</si>
  <si>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</si>
  <si>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</si>
  <si>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</si>
  <si>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</si>
  <si>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</si>
  <si>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</si>
  <si>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</si>
  <si>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</si>
  <si>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</si>
  <si>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</si>
  <si>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</si>
  <si>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</si>
  <si>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</si>
  <si>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</si>
  <si>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</si>
  <si>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</si>
  <si>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</si>
  <si>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</si>
  <si>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</si>
  <si>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</si>
  <si>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</si>
  <si>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</si>
  <si>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</si>
  <si>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</si>
  <si>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</si>
  <si>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</si>
  <si>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</si>
  <si>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</si>
  <si>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</si>
  <si>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</si>
  <si>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</si>
  <si>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</si>
  <si>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</si>
  <si>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</si>
  <si>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</si>
  <si>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</si>
  <si>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</si>
  <si>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</si>
  <si>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</si>
  <si>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</si>
  <si>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</si>
  <si>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</si>
  <si>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</si>
  <si>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</si>
  <si>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</si>
  <si>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</si>
  <si>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</si>
  <si>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</si>
  <si>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</si>
  <si>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</si>
  <si>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</si>
  <si>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</si>
  <si>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</si>
  <si>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</si>
  <si>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</si>
  <si>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</si>
  <si>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</si>
  <si>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</si>
  <si>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</si>
  <si>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</si>
  <si>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</si>
  <si>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</si>
  <si>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</si>
  <si>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</si>
  <si>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</si>
  <si>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</si>
  <si>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</si>
  <si>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</si>
  <si>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</si>
  <si>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</si>
  <si>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</si>
  <si>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</si>
  <si>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</si>
  <si>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</si>
  <si>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</si>
  <si>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</si>
  <si>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</si>
  <si>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</si>
  <si>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</si>
  <si>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</si>
  <si>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</si>
  <si>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</si>
  <si>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</si>
  <si>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</si>
  <si>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</si>
  <si>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</si>
  <si>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</si>
  <si>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</si>
  <si>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</si>
  <si>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</si>
  <si>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</si>
  <si>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</si>
  <si>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</si>
  <si>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</si>
  <si>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</si>
  <si>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</si>
  <si>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</si>
  <si>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</si>
  <si>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</si>
  <si>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</si>
  <si>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</si>
  <si>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</si>
  <si>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</si>
  <si>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</si>
  <si>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</si>
  <si>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</si>
  <si>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</si>
  <si>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</si>
  <si>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</si>
  <si>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</si>
  <si>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</si>
  <si>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</si>
  <si>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</si>
  <si>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</si>
  <si>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</si>
  <si>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</si>
  <si>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</si>
  <si>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</si>
  <si>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</si>
  <si>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</si>
  <si>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</si>
  <si>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</si>
  <si>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</si>
  <si>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</si>
  <si>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</si>
  <si>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</si>
  <si>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</si>
  <si>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</si>
  <si>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</si>
  <si>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</si>
  <si>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</si>
  <si>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</si>
  <si>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</si>
  <si>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</si>
  <si>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</si>
  <si>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</si>
  <si>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</si>
  <si>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</si>
  <si>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</si>
  <si>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</si>
  <si>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</si>
  <si>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</si>
  <si>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</si>
  <si>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</si>
  <si>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</si>
  <si>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</si>
  <si>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</si>
  <si>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</si>
  <si>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</si>
  <si>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</si>
  <si>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</si>
  <si>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</si>
  <si>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</si>
  <si>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</si>
  <si>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</si>
  <si>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</si>
  <si>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</si>
  <si>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</si>
  <si>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</si>
  <si>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</si>
  <si>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</si>
  <si>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</si>
  <si>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</si>
  <si>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</si>
  <si>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</si>
  <si>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</si>
  <si>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</si>
  <si>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</si>
  <si>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</si>
  <si>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</si>
  <si>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</si>
  <si>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</si>
  <si>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</si>
  <si>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</si>
  <si>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</si>
  <si>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</si>
  <si>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</si>
  <si>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</si>
  <si>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</si>
  <si>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</si>
  <si>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</si>
  <si>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</si>
  <si>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</si>
  <si>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</si>
  <si>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</si>
  <si>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</si>
  <si>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</si>
  <si>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</si>
  <si>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</si>
  <si>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</si>
  <si>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</si>
  <si>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</si>
  <si>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</si>
  <si>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</si>
  <si>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</si>
  <si>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</si>
  <si>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</si>
  <si>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</si>
  <si>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</si>
  <si>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</si>
  <si>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</si>
  <si>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</si>
  <si>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</si>
  <si>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</si>
  <si>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</si>
  <si>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</si>
  <si>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</si>
  <si>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</si>
  <si>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</si>
  <si>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</si>
  <si>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</si>
  <si>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</si>
  <si>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</si>
  <si>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</si>
  <si>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</si>
  <si>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</si>
  <si>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</si>
  <si>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</si>
  <si>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</si>
  <si>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</si>
  <si>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</si>
  <si>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</si>
  <si>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</si>
  <si>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</si>
  <si>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</si>
  <si>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</si>
  <si>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</si>
  <si>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</si>
  <si>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</si>
  <si>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</si>
  <si>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</si>
  <si>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</si>
  <si>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</si>
  <si>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</si>
  <si>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</si>
  <si>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</si>
  <si>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</si>
  <si>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</si>
  <si>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</si>
  <si>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</si>
  <si>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</si>
  <si>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</si>
  <si>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</si>
  <si>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</si>
  <si>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</si>
  <si>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</si>
  <si>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</si>
  <si>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</si>
  <si>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</si>
  <si>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</si>
  <si>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</si>
  <si>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</si>
  <si>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</si>
  <si>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</si>
  <si>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</si>
  <si>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</si>
  <si>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</si>
  <si>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</si>
  <si>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</si>
  <si>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</si>
  <si>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</si>
  <si>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</si>
  <si>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</si>
  <si>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</si>
  <si>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</si>
  <si>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</si>
  <si>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</si>
  <si>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</si>
  <si>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</si>
  <si>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</si>
  <si>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</si>
  <si>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</si>
  <si>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</si>
  <si>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</si>
  <si>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</si>
  <si>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</si>
  <si>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</si>
  <si>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</si>
  <si>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</si>
  <si>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</si>
  <si>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</si>
  <si>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</si>
  <si>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</si>
  <si>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</si>
  <si>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</si>
  <si>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</si>
  <si>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</si>
  <si>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</si>
  <si>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</si>
  <si>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</si>
  <si>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</si>
  <si>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</si>
  <si>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</si>
  <si>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</si>
  <si>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</si>
  <si>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</si>
  <si>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</si>
  <si>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</si>
  <si>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</si>
  <si>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</si>
  <si>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</si>
  <si>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</si>
  <si>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</si>
  <si>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</si>
  <si>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</si>
  <si>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</si>
  <si>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</si>
  <si>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</si>
  <si>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</si>
  <si>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</si>
  <si>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</si>
  <si>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</si>
  <si>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</si>
  <si>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</si>
  <si>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</si>
  <si>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</si>
  <si>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</si>
  <si>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</si>
  <si>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</si>
  <si>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</si>
  <si>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</si>
  <si>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</si>
  <si>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</si>
  <si>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</si>
  <si>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</si>
  <si>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</si>
  <si>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</si>
  <si>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</si>
  <si>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</si>
  <si>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</si>
  <si>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</si>
  <si>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</si>
  <si>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</si>
  <si>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</si>
  <si>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</si>
  <si>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</si>
  <si>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</si>
  <si>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</si>
  <si>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</si>
  <si>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</si>
  <si>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</si>
  <si>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</si>
  <si>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</si>
  <si>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</si>
  <si>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</si>
  <si>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</si>
  <si>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</si>
  <si>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</si>
  <si>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</si>
  <si>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</si>
  <si>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</si>
  <si>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</si>
  <si>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</si>
  <si>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</si>
  <si>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</si>
  <si>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</si>
  <si>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</si>
  <si>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</si>
  <si>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</si>
  <si>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</si>
  <si>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</si>
  <si>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</si>
  <si>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</si>
  <si>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</si>
  <si>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</si>
  <si>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</si>
  <si>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</si>
  <si>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</si>
  <si>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</si>
  <si>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</si>
  <si>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</si>
  <si>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</si>
  <si>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</si>
  <si>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</si>
  <si>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</si>
  <si>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</si>
  <si>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</si>
  <si>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</si>
  <si>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</si>
  <si>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</si>
  <si>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</si>
  <si>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</si>
  <si>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</si>
  <si>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</si>
  <si>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</si>
  <si>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</si>
  <si>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</si>
  <si>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</si>
  <si>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</si>
  <si>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</si>
  <si>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</si>
  <si>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</si>
  <si>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</si>
  <si>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</si>
  <si>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</si>
  <si>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</si>
  <si>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</si>
  <si>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</si>
  <si>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</si>
  <si>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</si>
  <si>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</si>
  <si>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</si>
  <si>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</si>
  <si>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</si>
  <si>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</si>
  <si>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</si>
  <si>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</si>
  <si>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</si>
  <si>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</si>
  <si>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</si>
  <si>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</si>
  <si>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</si>
  <si>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</si>
  <si>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</si>
  <si>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</si>
  <si>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</si>
  <si>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</si>
  <si>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</si>
  <si>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</si>
  <si>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</si>
  <si>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</si>
  <si>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</si>
  <si>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</si>
  <si>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</si>
  <si>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</si>
  <si>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</si>
  <si>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</si>
  <si>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</si>
  <si>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</si>
  <si>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</si>
  <si>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</si>
  <si>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</si>
  <si>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</si>
  <si>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</si>
  <si>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</si>
  <si>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</si>
  <si>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</si>
  <si>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</si>
  <si>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</si>
  <si>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</si>
  <si>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</si>
  <si>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</si>
  <si>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</si>
  <si>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</si>
  <si>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</si>
  <si>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</si>
  <si>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</si>
  <si>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</si>
  <si>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</si>
  <si>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</si>
  <si>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</si>
  <si>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</si>
  <si>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</si>
  <si>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</si>
  <si>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</si>
  <si>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</si>
  <si>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</si>
  <si>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</si>
  <si>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</si>
  <si>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</si>
  <si>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</si>
  <si>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</si>
  <si>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</si>
  <si>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</si>
  <si>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</si>
  <si>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</si>
  <si>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</si>
  <si>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</si>
  <si>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</si>
  <si>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</si>
  <si>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</si>
  <si>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</si>
  <si>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</si>
  <si>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</si>
  <si>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</si>
  <si>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</si>
  <si>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</si>
  <si>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</si>
  <si>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</si>
  <si>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</si>
  <si>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</si>
  <si>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</si>
  <si>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</si>
  <si>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</si>
  <si>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</si>
  <si>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</si>
  <si>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</si>
  <si>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</si>
  <si>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</si>
  <si>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</si>
  <si>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</si>
  <si>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</si>
  <si>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</si>
  <si>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</si>
  <si>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</si>
  <si>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</si>
  <si>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</si>
  <si>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</si>
  <si>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</si>
  <si>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</si>
  <si>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</si>
  <si>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</si>
  <si>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</si>
  <si>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</si>
  <si>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</si>
  <si>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</si>
  <si>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</si>
  <si>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</si>
  <si>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</si>
  <si>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</si>
  <si>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</si>
  <si>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</si>
  <si>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</si>
  <si>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</si>
  <si>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</si>
  <si>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</si>
  <si>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</si>
  <si>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</si>
  <si>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</si>
  <si>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</si>
  <si>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</si>
  <si>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</si>
  <si>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</si>
  <si>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</si>
  <si>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</si>
  <si>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</si>
  <si>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</si>
  <si>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</si>
  <si>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</si>
  <si>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</si>
  <si>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</si>
  <si>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</si>
  <si>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</si>
  <si>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</si>
  <si>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</si>
  <si>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</si>
  <si>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</si>
  <si>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</si>
  <si>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</si>
  <si>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</si>
  <si>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</si>
  <si>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</si>
  <si>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</si>
  <si>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</si>
  <si>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</si>
  <si>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</si>
  <si>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</si>
  <si>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</si>
  <si>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</si>
  <si>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</si>
  <si>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</si>
  <si>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</si>
  <si>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</si>
  <si>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</si>
  <si>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</si>
  <si>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</si>
  <si>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</si>
  <si>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</si>
  <si>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</si>
  <si>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</si>
  <si>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</si>
  <si>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</si>
  <si>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</si>
  <si>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</si>
  <si>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</si>
  <si>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</si>
  <si>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</si>
  <si>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</si>
  <si>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</si>
  <si>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</si>
  <si>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</si>
  <si>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</si>
  <si>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</si>
  <si>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</si>
  <si>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</si>
  <si>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</si>
  <si>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</si>
  <si>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</si>
  <si>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</si>
  <si>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</si>
  <si>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</si>
  <si>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</si>
  <si>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</si>
  <si>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</si>
  <si>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</si>
  <si>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</si>
  <si>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</si>
  <si>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</si>
  <si>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</si>
  <si>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</si>
  <si>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</si>
  <si>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</si>
  <si>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</si>
  <si>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</si>
  <si>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</si>
  <si>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</si>
  <si>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</si>
  <si>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</si>
  <si>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</si>
  <si>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</si>
  <si>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</si>
  <si>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</si>
  <si>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</si>
  <si>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</si>
  <si>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</si>
  <si>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</si>
  <si>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</si>
  <si>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</si>
  <si>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</si>
  <si>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</si>
  <si>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</si>
  <si>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</si>
  <si>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</si>
  <si>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</si>
  <si>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</si>
  <si>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</si>
  <si>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</si>
  <si>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</si>
  <si>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</si>
  <si>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</si>
  <si>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</si>
  <si>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</si>
  <si>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</si>
  <si>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</si>
  <si>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</si>
  <si>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</si>
  <si>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</si>
  <si>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</si>
  <si>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</si>
  <si>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</si>
  <si>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</si>
  <si>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</si>
  <si>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</si>
  <si>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</si>
  <si>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</si>
  <si>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</si>
  <si>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</si>
  <si>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</si>
  <si>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</si>
  <si>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</si>
  <si>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</si>
  <si>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</si>
  <si>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</si>
  <si>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</si>
  <si>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</si>
  <si>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</si>
  <si>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</si>
  <si>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</si>
  <si>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</si>
  <si>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</si>
  <si>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</si>
  <si>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</si>
  <si>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</si>
  <si>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</si>
  <si>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</si>
  <si>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</si>
  <si>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</si>
  <si>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</si>
  <si>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</si>
  <si>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</si>
  <si>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</si>
  <si>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</si>
  <si>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</si>
  <si>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</si>
  <si>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</si>
  <si>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</si>
  <si>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</si>
  <si>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</si>
  <si>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</si>
  <si>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</si>
  <si>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</si>
  <si>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</si>
  <si>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</si>
  <si>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</si>
  <si>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</si>
  <si>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</si>
  <si>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</si>
  <si>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</si>
  <si>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</si>
  <si>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</si>
  <si>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</si>
  <si>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</si>
  <si>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</si>
  <si>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</si>
  <si>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</si>
  <si>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</si>
  <si>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</si>
  <si>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</si>
  <si>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</si>
  <si>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</si>
  <si>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</si>
  <si>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</si>
  <si>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</si>
  <si>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</si>
  <si>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</si>
  <si>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</si>
  <si>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</si>
  <si>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</si>
  <si>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</si>
  <si>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</si>
  <si>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</si>
  <si>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</si>
  <si>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</si>
  <si>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</si>
  <si>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</si>
  <si>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</si>
  <si>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</si>
  <si>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</si>
  <si>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</si>
  <si>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</si>
  <si>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</si>
  <si>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</si>
  <si>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</si>
  <si>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</si>
  <si>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</si>
  <si>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</si>
  <si>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</si>
  <si>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</si>
  <si>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</si>
  <si>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</si>
  <si>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</si>
  <si>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</si>
  <si>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</si>
  <si>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</si>
  <si>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</si>
  <si>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</si>
  <si>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</si>
  <si>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</si>
  <si>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</si>
  <si>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</si>
  <si>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</si>
  <si>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</si>
  <si>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</si>
  <si>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</si>
  <si>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</si>
  <si>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</si>
  <si>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</si>
  <si>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</si>
  <si>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</si>
  <si>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</si>
  <si>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</si>
  <si>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</si>
  <si>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</si>
  <si>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</si>
  <si>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</si>
  <si>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</si>
  <si>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</si>
  <si>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</si>
  <si>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</si>
  <si>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</si>
  <si>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</si>
  <si>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</si>
  <si>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</si>
  <si>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</si>
  <si>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</si>
  <si>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</si>
  <si>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</si>
  <si>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</si>
  <si>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</si>
  <si>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</si>
  <si>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</si>
  <si>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</si>
  <si>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</si>
  <si>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</si>
  <si>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</si>
  <si>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</si>
  <si>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</si>
  <si>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</si>
  <si>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</si>
  <si>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</si>
  <si>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</si>
  <si>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</si>
  <si>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</si>
  <si>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</si>
  <si>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</si>
  <si>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</si>
  <si>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</si>
  <si>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</si>
  <si>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</si>
  <si>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</si>
  <si>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</si>
  <si>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</si>
  <si>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</si>
  <si>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</si>
  <si>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</si>
  <si>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</si>
  <si>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</si>
  <si>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</si>
  <si>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</si>
  <si>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</si>
  <si>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</si>
  <si>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</si>
  <si>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</si>
  <si>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</si>
  <si>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</si>
  <si>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</si>
  <si>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</si>
  <si>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</si>
  <si>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</si>
  <si>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</si>
  <si>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</si>
  <si>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</si>
  <si>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</si>
  <si>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</si>
  <si>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</si>
  <si>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</si>
  <si>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</si>
  <si>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</si>
  <si>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</si>
  <si>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</si>
  <si>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</si>
  <si>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</si>
  <si>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</si>
  <si>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</si>
  <si>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</si>
  <si>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</si>
  <si>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</si>
  <si>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</si>
  <si>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</si>
  <si>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</si>
  <si>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</si>
  <si>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</si>
  <si>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</si>
  <si>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</si>
  <si>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</si>
  <si>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</si>
  <si>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</si>
  <si>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</si>
  <si>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</si>
  <si>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</si>
  <si>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</si>
  <si>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</si>
  <si>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</si>
  <si>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</si>
  <si>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</si>
  <si>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</si>
  <si>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</si>
  <si>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</si>
  <si>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</si>
  <si>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</si>
  <si>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</si>
  <si>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</si>
  <si>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</si>
  <si>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</si>
  <si>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</si>
  <si>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</si>
  <si>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</si>
  <si>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</si>
  <si>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</si>
  <si>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</si>
  <si>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</si>
  <si>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</si>
  <si>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</si>
  <si>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</si>
  <si>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</si>
  <si>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</si>
  <si>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</si>
  <si>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</si>
  <si>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</si>
  <si>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</si>
  <si>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</si>
  <si>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</si>
  <si>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</si>
  <si>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</si>
  <si>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</si>
  <si>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</si>
  <si>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</si>
  <si>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</si>
  <si>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</si>
  <si>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</si>
  <si>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</si>
  <si>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</si>
  <si>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</si>
  <si>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</si>
  <si>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</si>
  <si>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</si>
  <si>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</si>
  <si>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</si>
  <si>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</si>
  <si>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</si>
  <si>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</si>
  <si>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</si>
  <si>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</si>
  <si>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</si>
  <si>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</si>
  <si>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</si>
  <si>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</si>
  <si>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</si>
  <si>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</si>
  <si>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</si>
  <si>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</si>
  <si>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</si>
  <si>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</si>
  <si>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</si>
  <si>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</si>
  <si>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</si>
  <si>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</si>
  <si>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</si>
  <si>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</si>
  <si>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</si>
  <si>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</si>
  <si>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</si>
  <si>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</si>
  <si>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</si>
  <si>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</si>
  <si>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</si>
  <si>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</si>
  <si>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</si>
  <si>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</si>
  <si>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</si>
  <si>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</si>
  <si>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</si>
  <si>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</si>
  <si>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</si>
  <si>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</si>
  <si>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</si>
  <si>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</si>
  <si>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</si>
  <si>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</si>
  <si>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</si>
  <si>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</si>
  <si>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</si>
  <si>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</si>
  <si>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</si>
  <si>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</si>
  <si>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</si>
  <si>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</si>
  <si>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</si>
  <si>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</si>
  <si>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</si>
  <si>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</si>
  <si>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</si>
  <si>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</si>
  <si>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</si>
  <si>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</si>
  <si>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</si>
  <si>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</si>
  <si>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</si>
  <si>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</si>
  <si>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</si>
  <si>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</si>
  <si>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</si>
  <si>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</si>
  <si>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</si>
  <si>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</si>
  <si>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</si>
  <si>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</si>
  <si>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</si>
  <si>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</si>
  <si>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</si>
  <si>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</si>
  <si>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</si>
  <si>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</si>
  <si>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</si>
  <si>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</si>
  <si>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</si>
  <si>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</si>
  <si>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</si>
  <si>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</si>
  <si>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</si>
  <si>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</si>
  <si>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</si>
  <si>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</si>
  <si>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</si>
  <si>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</si>
  <si>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</si>
  <si>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</si>
  <si>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</si>
  <si>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</si>
  <si>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</si>
  <si>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</si>
  <si>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</si>
  <si>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</si>
  <si>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</si>
  <si>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</si>
  <si>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</si>
  <si>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</si>
  <si>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</si>
  <si>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</si>
  <si>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</si>
  <si>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</si>
  <si>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</si>
  <si>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</si>
  <si>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</si>
  <si>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</si>
  <si>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</si>
  <si>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</si>
  <si>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</si>
  <si>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</si>
  <si>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</si>
  <si>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</si>
  <si>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</si>
  <si>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</si>
  <si>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</si>
  <si>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</si>
  <si>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</si>
  <si>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</si>
  <si>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</si>
  <si>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</si>
  <si>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</si>
  <si>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</si>
  <si>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</si>
  <si>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</si>
  <si>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</si>
  <si>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</si>
  <si>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</si>
  <si>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</si>
  <si>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</si>
  <si>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</si>
  <si>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</si>
  <si>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</si>
  <si>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</si>
  <si>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</si>
  <si>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</si>
  <si>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</si>
  <si>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</si>
  <si>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</si>
  <si>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</si>
  <si>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</si>
  <si>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</si>
  <si>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</si>
  <si>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</si>
  <si>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</si>
  <si>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</si>
  <si>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</si>
  <si>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</si>
  <si>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</si>
  <si>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</si>
  <si>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</si>
  <si>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</si>
  <si>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</si>
  <si>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</si>
  <si>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</si>
  <si>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</si>
  <si>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</si>
  <si>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</si>
  <si>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</si>
  <si>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</si>
  <si>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</si>
  <si>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</si>
  <si>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</si>
  <si>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</si>
  <si>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</si>
  <si>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</si>
  <si>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</si>
  <si>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</si>
  <si>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</si>
  <si>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</si>
  <si>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</si>
  <si>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</si>
  <si>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</si>
  <si>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</si>
  <si>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</si>
  <si>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</si>
  <si>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</si>
  <si>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</si>
  <si>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</si>
  <si>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</si>
  <si>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</si>
  <si>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</si>
  <si>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</si>
  <si>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</si>
  <si>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</si>
  <si>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</si>
  <si>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</si>
  <si>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</si>
  <si>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</si>
  <si>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</si>
  <si>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</si>
  <si>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</si>
  <si>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</si>
  <si>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</si>
  <si>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</si>
  <si>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</si>
  <si>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</si>
  <si>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</si>
  <si>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</si>
  <si>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</si>
  <si>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</si>
  <si>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</si>
  <si>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</si>
  <si>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</si>
  <si>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</si>
  <si>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</si>
  <si>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</si>
  <si>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</si>
  <si>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</si>
  <si>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</si>
  <si>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</si>
  <si>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</si>
  <si>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</si>
  <si>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</si>
  <si>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</si>
  <si>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</si>
  <si>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</si>
  <si>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</si>
  <si>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</si>
  <si>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</si>
  <si>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</si>
  <si>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</si>
  <si>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</si>
  <si>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</si>
  <si>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</si>
  <si>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</si>
  <si>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</si>
  <si>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</si>
  <si>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</si>
  <si>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</si>
  <si>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</si>
  <si>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</si>
  <si>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</si>
  <si>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</si>
  <si>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</si>
  <si>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</si>
  <si>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</si>
  <si>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</si>
  <si>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</si>
  <si>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</si>
  <si>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</si>
  <si>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</si>
  <si>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</si>
  <si>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</si>
  <si>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</si>
  <si>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</si>
  <si>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</si>
  <si>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</si>
  <si>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</si>
  <si>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</si>
  <si>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</si>
  <si>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</si>
  <si>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</si>
  <si>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</si>
  <si>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</si>
  <si>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</si>
  <si>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</si>
  <si>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</si>
  <si>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</si>
  <si>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</si>
  <si>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</si>
  <si>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</si>
  <si>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</si>
  <si>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</si>
  <si>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</si>
  <si>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</si>
  <si>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</si>
  <si>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</si>
  <si>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</si>
  <si>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</si>
  <si>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</si>
  <si>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</si>
  <si>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</si>
  <si>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</si>
  <si>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</si>
  <si>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</si>
  <si>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</si>
  <si>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</si>
  <si>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</si>
  <si>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</si>
  <si>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</si>
  <si>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</si>
  <si>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</si>
  <si>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</si>
  <si>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</si>
  <si>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</si>
  <si>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</si>
  <si>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</si>
  <si>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</si>
  <si>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</si>
  <si>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</si>
  <si>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</si>
  <si>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</si>
  <si>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</si>
  <si>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</si>
  <si>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</si>
  <si>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</si>
  <si>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</si>
  <si>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</si>
  <si>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</si>
  <si>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</si>
  <si>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</si>
  <si>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</si>
  <si>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</si>
  <si>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</si>
  <si>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</si>
  <si>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</si>
  <si>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</si>
  <si>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</si>
  <si>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</si>
  <si>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</si>
  <si>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</si>
  <si>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</si>
  <si>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</si>
  <si>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</si>
  <si>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</si>
  <si>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</si>
  <si>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</si>
  <si>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</si>
  <si>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</si>
  <si>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</si>
  <si>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</si>
  <si>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</si>
  <si>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</si>
  <si>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</si>
  <si>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</si>
  <si>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</si>
  <si>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</si>
  <si>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</si>
  <si>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</si>
  <si>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</si>
  <si>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</si>
  <si>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</si>
  <si>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</si>
  <si>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</si>
  <si>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</si>
  <si>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</si>
  <si>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</si>
  <si>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</si>
  <si>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</si>
  <si>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</si>
  <si>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</si>
  <si>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</si>
  <si>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</si>
  <si>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</si>
  <si>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</si>
  <si>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</si>
  <si>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</si>
  <si>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</si>
  <si>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</si>
  <si>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</si>
  <si>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</si>
  <si>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</si>
  <si>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</si>
  <si>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</si>
  <si>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</si>
  <si>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</si>
  <si>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</si>
  <si>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</si>
  <si>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</si>
  <si>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</si>
  <si>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</si>
  <si>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</si>
  <si>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</si>
  <si>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</si>
  <si>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</si>
  <si>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</si>
  <si>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</si>
  <si>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</si>
  <si>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</si>
  <si>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</si>
  <si>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</si>
  <si>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</si>
  <si>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</si>
  <si>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</si>
  <si>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</si>
  <si>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</si>
  <si>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</si>
  <si>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</si>
  <si>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</si>
  <si>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</si>
  <si>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</si>
  <si>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</si>
  <si>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</si>
  <si>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</si>
  <si>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</si>
  <si>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</si>
  <si>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</si>
  <si>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</si>
  <si>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</si>
  <si>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</si>
  <si>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</si>
  <si>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</si>
  <si>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</si>
  <si>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</si>
  <si>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</si>
  <si>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</si>
  <si>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</si>
  <si>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</si>
  <si>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</si>
  <si>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</si>
  <si>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</si>
  <si>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</si>
  <si>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</si>
  <si>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</si>
  <si>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</si>
  <si>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</si>
  <si>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</si>
  <si>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</si>
  <si>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</si>
  <si>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</si>
  <si>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</si>
  <si>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</si>
  <si>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</si>
  <si>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</si>
  <si>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</si>
  <si>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</si>
  <si>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</si>
  <si>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</si>
  <si>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</si>
  <si>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</si>
  <si>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</si>
  <si>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</si>
  <si>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</si>
  <si>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</si>
  <si>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</si>
  <si>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</si>
  <si>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</si>
  <si>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</si>
  <si>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</si>
  <si>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</si>
  <si>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</si>
  <si>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</si>
  <si>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</si>
  <si>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</si>
  <si>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</si>
  <si>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</si>
  <si>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</si>
  <si>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</si>
  <si>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</si>
  <si>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</si>
  <si>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</si>
  <si>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</si>
  <si>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</si>
  <si>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</si>
  <si>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</si>
  <si>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</si>
  <si>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</si>
  <si>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</si>
  <si>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</si>
  <si>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</si>
  <si>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</si>
  <si>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</si>
  <si>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</si>
  <si>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</si>
  <si>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</si>
  <si>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</si>
  <si>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</si>
  <si>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</si>
  <si>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</si>
  <si>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</si>
  <si>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</si>
  <si>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</si>
  <si>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</si>
  <si>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</si>
  <si>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</si>
  <si>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</si>
  <si>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</si>
  <si>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</si>
  <si>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</si>
  <si>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</si>
  <si>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</si>
  <si>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</si>
  <si>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</si>
  <si>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</si>
  <si>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</si>
  <si>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</si>
  <si>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</si>
  <si>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</si>
  <si>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</si>
  <si>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</si>
  <si>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</si>
  <si>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</si>
  <si>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</si>
  <si>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</si>
  <si>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</si>
  <si>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</si>
  <si>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</si>
  <si>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</si>
  <si>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</si>
  <si>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</si>
  <si>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</si>
  <si>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</si>
  <si>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</si>
  <si>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</si>
  <si>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</si>
  <si>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</si>
  <si>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</si>
  <si>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</si>
  <si>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</si>
  <si>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</si>
  <si>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</si>
  <si>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</si>
  <si>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</si>
  <si>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</si>
  <si>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</si>
  <si>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</si>
  <si>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</si>
  <si>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</si>
  <si>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</si>
  <si>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</si>
  <si>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</si>
  <si>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</si>
  <si>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</si>
  <si>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</si>
  <si>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</si>
  <si>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</si>
  <si>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</si>
  <si>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</si>
  <si>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</si>
  <si>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</si>
  <si>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</si>
  <si>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</si>
  <si>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</si>
  <si>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</si>
  <si>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</si>
  <si>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</si>
  <si>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</si>
  <si>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</si>
  <si>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</si>
  <si>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</si>
  <si>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</si>
  <si>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</si>
  <si>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</si>
  <si>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</si>
  <si>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</si>
  <si>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</si>
  <si>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</si>
  <si>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</si>
  <si>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</si>
  <si>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</si>
  <si>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</si>
  <si>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</si>
  <si>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</si>
  <si>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</si>
  <si>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</si>
  <si>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</si>
  <si>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</si>
  <si>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</si>
  <si>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</si>
  <si>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</si>
  <si>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</si>
  <si>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</si>
  <si>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</si>
  <si>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</si>
  <si>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</si>
  <si>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</si>
  <si>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</si>
  <si>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</si>
  <si>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</si>
  <si>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</si>
  <si>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</si>
  <si>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</si>
  <si>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</si>
  <si>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</si>
  <si>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</si>
  <si>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</si>
  <si>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</si>
  <si>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</si>
  <si>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</si>
  <si>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</si>
  <si>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</si>
  <si>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</si>
  <si>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</si>
  <si>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</si>
  <si>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</si>
  <si>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</si>
  <si>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</si>
  <si>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</si>
  <si>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</si>
  <si>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</si>
  <si>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</si>
  <si>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</si>
  <si>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</si>
  <si>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</si>
  <si>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</si>
  <si>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</si>
  <si>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</si>
  <si>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</si>
  <si>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</si>
  <si>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</si>
  <si>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</si>
  <si>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</si>
  <si>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</si>
  <si>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</si>
  <si>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</si>
  <si>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</si>
  <si>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</si>
  <si>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</si>
  <si>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</si>
  <si>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</si>
  <si>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</si>
  <si>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</si>
  <si>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</si>
  <si>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</si>
  <si>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</si>
  <si>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</si>
  <si>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</si>
  <si>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</si>
  <si>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</si>
  <si>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</si>
  <si>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</si>
  <si>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</si>
  <si>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</si>
  <si>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</si>
  <si>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</si>
  <si>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</si>
  <si>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</si>
  <si>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</si>
  <si>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</si>
  <si>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</si>
  <si>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</si>
  <si>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</si>
  <si>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</si>
  <si>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</si>
  <si>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</si>
  <si>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</si>
  <si>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</si>
  <si>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</si>
  <si>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</si>
  <si>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</si>
  <si>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</si>
  <si>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</si>
  <si>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</si>
  <si>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</si>
  <si>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</si>
  <si>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</si>
  <si>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</si>
  <si>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</si>
  <si>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</si>
  <si>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</si>
  <si>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</si>
  <si>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</si>
  <si>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</si>
  <si>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</si>
  <si>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</si>
  <si>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</si>
  <si>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</si>
  <si>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</si>
  <si>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</si>
  <si>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</si>
  <si>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</si>
  <si>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</si>
  <si>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</si>
  <si>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</si>
  <si>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</si>
  <si>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</si>
  <si>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</si>
  <si>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</si>
  <si>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</si>
  <si>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</si>
  <si>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</si>
  <si>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</si>
  <si>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</si>
  <si>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</si>
  <si>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</si>
  <si>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</si>
  <si>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</si>
  <si>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</si>
  <si>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</si>
  <si>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</si>
  <si>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</si>
  <si>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</si>
  <si>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</si>
  <si>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</si>
  <si>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</si>
  <si>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</si>
  <si>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</si>
  <si>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</si>
  <si>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</si>
  <si>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</si>
  <si>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</si>
  <si>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</si>
  <si>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</si>
  <si>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</si>
  <si>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</si>
  <si>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</si>
  <si>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</si>
  <si>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</si>
  <si>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</si>
  <si>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</si>
  <si>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</si>
  <si>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</si>
  <si>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</si>
  <si>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</si>
  <si>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</si>
  <si>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</si>
  <si>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</si>
  <si>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</si>
  <si>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</si>
  <si>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</si>
  <si>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</si>
  <si>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</si>
  <si>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</si>
  <si>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</si>
  <si>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</si>
  <si>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</si>
  <si>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</si>
  <si>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</si>
  <si>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</si>
  <si>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</si>
  <si>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</si>
  <si>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</si>
  <si>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</si>
  <si>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</si>
  <si>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</si>
  <si>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</si>
  <si>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</si>
  <si>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</si>
  <si>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</si>
  <si>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</si>
  <si>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</si>
  <si>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</si>
  <si>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</si>
  <si>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</si>
  <si>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</si>
  <si>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</si>
  <si>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</si>
  <si>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</si>
  <si>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</si>
  <si>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</si>
  <si>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</si>
  <si>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</si>
  <si>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</si>
  <si>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</si>
  <si>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</si>
  <si>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</si>
  <si>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</si>
  <si>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</si>
  <si>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</si>
  <si>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</si>
  <si>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</si>
  <si>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</si>
  <si>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</si>
  <si>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</si>
  <si>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</si>
  <si>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</si>
  <si>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</si>
  <si>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</si>
  <si>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</si>
  <si>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</si>
  <si>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</si>
  <si>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</si>
  <si>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</si>
  <si>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</si>
  <si>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</si>
  <si>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</si>
  <si>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</si>
  <si>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</si>
  <si>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</si>
  <si>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</si>
  <si>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</si>
  <si>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</si>
  <si>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</si>
  <si>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</si>
  <si>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</si>
  <si>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</si>
  <si>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</si>
  <si>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</si>
  <si>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</si>
  <si>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</si>
  <si>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</si>
  <si>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</si>
  <si>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</si>
  <si>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</si>
  <si>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</si>
  <si>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</si>
  <si>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</si>
  <si>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</si>
  <si>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</si>
  <si>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</si>
  <si>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</si>
  <si>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是</t>
  </si>
  <si>
    <t>地上</t>
  </si>
  <si>
    <t>8-44</t>
    <phoneticPr fontId="3" type="noConversion"/>
  </si>
  <si>
    <t>8-45</t>
    <phoneticPr fontId="3" type="noConversion"/>
  </si>
  <si>
    <t>否</t>
  </si>
  <si>
    <t>商业</t>
    <phoneticPr fontId="7" type="noConversion"/>
  </si>
  <si>
    <t>利息：取LPR加浮动点数</t>
  </si>
  <si>
    <t>成新度</t>
  </si>
  <si>
    <t>押一</t>
  </si>
  <si>
    <t>钢混</t>
  </si>
  <si>
    <t>非生产用房</t>
  </si>
  <si>
    <t>收益法 (元)</t>
  </si>
  <si>
    <t>单套模式</t>
  </si>
  <si>
    <t>售价</t>
  </si>
  <si>
    <t>楼面单价</t>
  </si>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</sst>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估价对象为房地产，为所有。根据《国有土地使用证》[]，估价对象（分摊）出让国有建设用地使用权面积为0平方米，建筑面积为155.06平方米。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估价对象为房地产,属开发建设的，该项目尚在开发建设中。根据《国有土地使用证》[]，估价对象（分摊）出让国有建设用地使用权面积为0平方米，规划建筑面积为155.06平方米。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2023年4月13日</v>
      </c>
    </row>
    <row r="13" spans="1:2" s="1203" customFormat="1">
      <c r="A13" s="1201" t="s">
        <v>529</v>
      </c>
      <c r="B13" s="1202" t="str">
        <f>'预评函-1'!A18</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1170</v>
      </c>
    </row>
    <row r="21" spans="1:2" s="1203" customFormat="1">
      <c r="A21" s="1201" t="s">
        <v>537</v>
      </c>
      <c r="B21" s="1202">
        <f ca="1">'预评函-2'!D7</f>
        <v>75458</v>
      </c>
    </row>
    <row r="22" spans="1:2" s="1203" customFormat="1">
      <c r="A22" s="1201" t="s">
        <v>538</v>
      </c>
      <c r="B22" s="1202" t="str">
        <f ca="1">'预评函-2'!D6</f>
        <v>壹仟壹佰柒拾万元整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1170</v>
      </c>
    </row>
    <row r="31" spans="1:2" s="1203" customFormat="1">
      <c r="A31" s="1201" t="s">
        <v>576</v>
      </c>
      <c r="B31" s="1202">
        <f ca="1">'预评函-2'!D15</f>
        <v>75458</v>
      </c>
    </row>
    <row r="32" spans="1:2" s="1203" customFormat="1">
      <c r="A32" s="1201" t="s">
        <v>543</v>
      </c>
      <c r="B32" s="1202" t="str">
        <f ca="1">'预评函-2'!D14</f>
        <v>壹仟壹佰柒拾万元整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155.06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45029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3.68</v>
      </c>
      <c r="D5" s="3025">
        <f>IF(ISERROR(ROUND(POWER(1+E5,A5-C5)*(POWER(1+E5,C5)-1)/(POWER(1+E5,A5)-1),3)),0,ROUND(POWER(1+E5,A5-C5)*(POWER(1+E5,C5)-1)/(POWER(1+E5,A5)-1),4))</f>
        <v>0.16980000000000001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13.69</v>
      </c>
      <c r="D6" s="3025">
        <f>IF(ISERROR(ROUND(POWER(1+E6,A6-C6)*(POWER(1+E6,C6)-1)/(POWER(1+E6,A6)-1),3)),0,ROUND(POWER(1+E6,A6-C6)*(POWER(1+E6,C6)-1)/(POWER(1+E6,A6)-1),4))</f>
        <v>0.48349999999999999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33.700000000000003</v>
      </c>
      <c r="D7" s="3025">
        <f>IF(ISERROR(ROUND(POWER(1+E7,A7-C7)*(POWER(1+E7,C7)-1)/(POWER(1+E7,A7)-1),3)),0,ROUND(POWER(1+E7,A7-C7)*(POWER(1+E7,C7)-1)/(POWER(1+E7,A7)-1),4))</f>
        <v>0.78369999999999995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17" sqref="J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45029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3"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55619</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29.01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155.06</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292.03999999999996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292.03999999999996</v>
      </c>
      <c r="H5" s="13">
        <f t="shared" ref="H5:AT5" si="0">SUM(H13:H656)</f>
        <v>292.03999999999996</v>
      </c>
      <c r="I5" s="13">
        <f t="shared" si="0"/>
        <v>292.03999999999996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155.06</v>
      </c>
      <c r="BA5" s="15">
        <f t="shared" si="1"/>
        <v>155.06</v>
      </c>
      <c r="BB5" s="15">
        <f t="shared" si="1"/>
        <v>155.06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3383</v>
      </c>
      <c r="D13" s="1625" t="s">
        <v>3381</v>
      </c>
      <c r="E13" s="13">
        <f>IF($C$3="是",ROUND($A$3*G13/$B$3,2),ROUND($A$3*(G13-AT13)/$B$3,2))</f>
        <v>0</v>
      </c>
      <c r="F13" s="29"/>
      <c r="G13" s="30">
        <f>H13+AC13+AT13</f>
        <v>155.06</v>
      </c>
      <c r="H13" s="17">
        <f>SUMIF(I$12:AB$12,"总值",I13:AB13)</f>
        <v>155.06</v>
      </c>
      <c r="I13" s="1626">
        <v>155.06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8-44</v>
      </c>
      <c r="AY13" s="1349">
        <f>ROUND($AY$6*AZ13/$AZ$5,2)</f>
        <v>0</v>
      </c>
      <c r="AZ13" s="13">
        <f>BA13+BL13</f>
        <v>155.06</v>
      </c>
      <c r="BA13" s="13">
        <f>SUM(BB13:BK13)</f>
        <v>155.06</v>
      </c>
      <c r="BB13" s="13">
        <f>IF($D13="是",I13-J13,0)</f>
        <v>155.06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3384</v>
      </c>
      <c r="D14" s="1625" t="s">
        <v>3385</v>
      </c>
      <c r="E14" s="13">
        <f>IF($C$3="是",ROUND($A$3*G14/$B$3,2),ROUND($A$3*(G14-AT14)/$B$3,2))</f>
        <v>0</v>
      </c>
      <c r="F14" s="29"/>
      <c r="G14" s="30">
        <f>H14+AC14+AT14</f>
        <v>136.97999999999999</v>
      </c>
      <c r="H14" s="17">
        <f>SUMIF(I$12:AB$12,"总值",I14:AB14)</f>
        <v>136.97999999999999</v>
      </c>
      <c r="I14" s="1626">
        <v>136.97999999999999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8-45</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155.06</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155.06</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155.06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155.06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155.06</v>
      </c>
      <c r="F19" s="2795">
        <f>'数据-基础表'!I13</f>
        <v>155.06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155.06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155.06</v>
      </c>
      <c r="F27" s="1140">
        <f>IF(SUM(F19:F26)=E8,SUM(F19:F26),"地上面积有误")</f>
        <v>155.06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155.06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155.06</v>
      </c>
      <c r="F31" s="677">
        <f>F27+F30</f>
        <v>155.06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45029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55619</v>
      </c>
      <c r="F6" s="64">
        <f>SUMIF(项目基本情况!C$12:I$12,C6,项目基本情况!C$15:I$15)</f>
        <v>29.01</v>
      </c>
      <c r="G6" s="65">
        <f>IF(ISERROR(ROUND(POWER(1+H6,D6-F6)*(POWER(1+H6,F6)-1)/(POWER(1+H6,D6)-1),3)),0,ROUND(POWER(1+H6,D6-F6)*(POWER(1+H6,F6)-1)/(POWER(1+H6,D6)-1),3))</f>
        <v>0.88300000000000001</v>
      </c>
      <c r="H6" s="732">
        <v>0.05</v>
      </c>
      <c r="I6" s="732">
        <v>0.06</v>
      </c>
      <c r="J6" s="66">
        <v>7.4999999999999997E-2</v>
      </c>
      <c r="K6" s="1030">
        <f>SUMIF('数据-汇总表'!C$19:C$33,A6,'数据-汇总表'!E$19:E$33)</f>
        <v>155.06</v>
      </c>
      <c r="L6" s="733">
        <v>3500</v>
      </c>
      <c r="M6" s="67">
        <f t="shared" ref="M6:M14" si="0">ROUND(K6*L6/10000,0)</f>
        <v>54</v>
      </c>
      <c r="N6" s="731">
        <f>ROUND(1-(2023-2014)/60,2)</f>
        <v>0.85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11</v>
      </c>
      <c r="V6" s="70">
        <v>2.5000000000000001E-2</v>
      </c>
      <c r="W6" s="70">
        <v>0.1</v>
      </c>
      <c r="X6" s="1040"/>
      <c r="Y6" s="71">
        <f>N6</f>
        <v>0.85</v>
      </c>
      <c r="Z6" s="72"/>
      <c r="AA6" s="66"/>
      <c r="AB6" s="66"/>
      <c r="AC6" s="1040"/>
      <c r="AD6" s="73"/>
      <c r="AE6" s="1041">
        <f ca="1">IF(AN6="",0,SUMIF(INDIRECT("'"&amp;AN6&amp;"'"&amp;"!E:E"),$AE$5,INDIRECT("'"&amp;AN6&amp;"'"&amp;"!F:F")))</f>
        <v>29.01</v>
      </c>
      <c r="AF6" s="1348"/>
      <c r="AG6" s="138">
        <f>IF(AF6="",0,AE6-AF6)</f>
        <v>0</v>
      </c>
      <c r="AH6" s="74"/>
      <c r="AI6" s="76">
        <v>365</v>
      </c>
      <c r="AJ6" s="77"/>
      <c r="AK6" s="78">
        <v>1.4999999999999999E-2</v>
      </c>
      <c r="AL6" s="79">
        <v>1.5E-3</v>
      </c>
      <c r="AM6" s="80">
        <v>1.4999999999999999E-2</v>
      </c>
      <c r="AN6" s="1715" t="s">
        <v>3392</v>
      </c>
      <c r="AO6" s="52">
        <f ca="1">SUMIF(INDIRECT("'"&amp;AN6&amp;"'"&amp;"!A:A"),"总价",INDIRECT("'"&amp;AN6&amp;"'"&amp;"!B:B"))</f>
        <v>824.80409999999995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0.88300000000000001</v>
      </c>
      <c r="H16" s="90">
        <f>ROUND(SUMPRODUCT(H6:H13,K6:K13)/SUMPRODUCT((H6:H13&gt;0)*(K6:K13)),3)</f>
        <v>0.05</v>
      </c>
      <c r="I16" s="91"/>
      <c r="J16" s="91"/>
      <c r="K16" s="92">
        <f>SUM(K6:K15)</f>
        <v>155.06</v>
      </c>
      <c r="L16" s="93">
        <f>ROUND(M16*10000/SUM(K6:K14),0)</f>
        <v>3483</v>
      </c>
      <c r="M16" s="93">
        <f>SUM(M6:M14)</f>
        <v>54</v>
      </c>
      <c r="N16" s="94">
        <f>ROUND(SUMPRODUCT(M6:M14,N6:N14)/M16,3)</f>
        <v>0.85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45029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75458</v>
      </c>
      <c r="D5" s="2512" t="e">
        <f>ROUND(B5*10000/$B$2,0)</f>
        <v>#DIV/0!</v>
      </c>
      <c r="E5" s="2686"/>
      <c r="F5" s="2687"/>
      <c r="G5" s="2687"/>
      <c r="H5" s="2688"/>
      <c r="I5" s="2688"/>
      <c r="J5" s="2688"/>
      <c r="K5" s="2688"/>
    </row>
    <row r="6" spans="1:11" ht="16.5">
      <c r="A6" s="2512" t="s">
        <v>656</v>
      </c>
      <c r="B6" s="2512">
        <f>SUM(G14:G23)</f>
        <v>0</v>
      </c>
      <c r="C6" s="2512">
        <f ca="1">IF(B6=G14,结果表!H108,ROUND(B6*10000/$B$1,0))</f>
        <v>75458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3396</v>
      </c>
      <c r="D4" s="1756" t="s">
        <v>3392</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7</v>
      </c>
      <c r="D14" s="3576">
        <v>3</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3" t="s">
        <v>2131</v>
      </c>
      <c r="F18" s="3564"/>
      <c r="G18" s="3564"/>
      <c r="H18" s="3564"/>
      <c r="I18" s="3564"/>
      <c r="K18" s="302" t="s">
        <v>1289</v>
      </c>
      <c r="L18" s="302">
        <f>IF(C1="",'数据-汇总表'!E3,SUMIF(项目类型,C1,'数据-汇总表'!E17:E26)+SUMIF(项目类型,C1,'数据-汇总表'!I17:I26))</f>
        <v>155.06</v>
      </c>
      <c r="M18" s="302">
        <f>IF(C1="",'数据-汇总表'!E3,SUMIF(项目类型,C1,'数据-汇总表'!E17:E26))</f>
        <v>155.06</v>
      </c>
    </row>
    <row r="19" spans="1:36" ht="15">
      <c r="A19" s="1761" t="s">
        <v>1290</v>
      </c>
      <c r="B19" s="1762" t="s">
        <v>1291</v>
      </c>
      <c r="C19" s="134">
        <f ca="1">SUMIF(INDIRECT("'"&amp;C4&amp;"'"&amp;"!A:A"),结果表!B19,INDIRECT("'"&amp;C4&amp;"'"&amp;"!B:B"))</f>
        <v>1318.01</v>
      </c>
      <c r="D19" s="135">
        <f ca="1">SUMIF(INDIRECT("'"&amp;D4&amp;"'"&amp;"!A:A"),结果表!B19,INDIRECT("'"&amp;D4&amp;"'"&amp;"!B:B"))</f>
        <v>824.80409999999995</v>
      </c>
      <c r="E19" s="1761" t="s">
        <v>1292</v>
      </c>
      <c r="F19" s="1762" t="s">
        <v>1291</v>
      </c>
      <c r="G19" s="136">
        <f ca="1">ROUND(C19*$C$18+D19*$D$18,0)</f>
        <v>1170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85000</v>
      </c>
      <c r="D20" s="138">
        <f ca="1">SUMIF(INDIRECT("'"&amp;D4&amp;"'"&amp;"!A:A"),结果表!B20,INDIRECT("'"&amp;D4&amp;"'"&amp;"!B:B"))</f>
        <v>53193</v>
      </c>
      <c r="E20" s="1764"/>
      <c r="F20" s="1026" t="s">
        <v>1295</v>
      </c>
      <c r="G20" s="139">
        <f ca="1">ROUND(C20*$C$18+D20*$D$18,0)</f>
        <v>75458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0.59796732339230618</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75458</v>
      </c>
      <c r="D32" s="1775" t="s">
        <v>3395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1170</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45029</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1170</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1170</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62</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62</v>
      </c>
      <c r="E53" s="2334" t="s">
        <v>1354</v>
      </c>
      <c r="F53" s="2554">
        <f>'数据-取费表'!B41</f>
        <v>5.6000000000000001E-2</v>
      </c>
      <c r="G53" s="2555"/>
      <c r="H53" s="2544"/>
      <c r="I53" s="1807"/>
      <c r="J53" s="2523">
        <v>2</v>
      </c>
      <c r="K53" s="3604" t="s">
        <v>1357</v>
      </c>
      <c r="L53" s="3604"/>
      <c r="M53" s="2525">
        <f t="shared" ref="M53:O54" ca="1" si="0">D55</f>
        <v>1</v>
      </c>
      <c r="N53" s="2523" t="str">
        <f t="shared" si="0"/>
        <v>销售额×税（费）率</v>
      </c>
      <c r="O53" s="2526" t="str">
        <f t="shared" si="0"/>
        <v>免征</v>
      </c>
    </row>
    <row r="54" spans="1:35" ht="12" customHeight="1">
      <c r="A54" s="2335" t="s">
        <v>1358</v>
      </c>
      <c r="B54" s="3565" t="s">
        <v>2292</v>
      </c>
      <c r="C54" s="3566"/>
      <c r="D54" s="1087">
        <f ca="1">C68</f>
        <v>62</v>
      </c>
      <c r="E54" s="327" t="s">
        <v>1359</v>
      </c>
      <c r="F54" s="2554">
        <f>'数据-取费表'!B41</f>
        <v>5.6000000000000001E-2</v>
      </c>
      <c r="G54" s="2555"/>
      <c r="H54" s="2556"/>
      <c r="I54" s="1807"/>
      <c r="J54" s="2523">
        <v>3</v>
      </c>
      <c r="K54" s="3604" t="s">
        <v>1360</v>
      </c>
      <c r="L54" s="3604"/>
      <c r="M54" s="2525">
        <f t="shared" ca="1" si="0"/>
        <v>662</v>
      </c>
      <c r="N54" s="2523" t="str">
        <f t="shared" si="0"/>
        <v>增值额×税（费）率</v>
      </c>
      <c r="O54" s="2527" t="str">
        <f t="shared" si="0"/>
        <v>免征</v>
      </c>
    </row>
    <row r="55" spans="1:35" ht="24" customHeight="1">
      <c r="A55" s="3554" t="s">
        <v>1361</v>
      </c>
      <c r="B55" s="3555"/>
      <c r="C55" s="3555"/>
      <c r="D55" s="2324">
        <f ca="1">IF(H55="个人住宅",0,ROUND(D45*I55,0))</f>
        <v>1</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11</v>
      </c>
      <c r="N55" s="2040" t="str">
        <f>E59</f>
        <v>差额计税</v>
      </c>
      <c r="O55" s="2529">
        <f>F59</f>
        <v>0.01</v>
      </c>
    </row>
    <row r="56" spans="1:35" ht="24.75">
      <c r="A56" s="3554" t="s">
        <v>1363</v>
      </c>
      <c r="B56" s="3555"/>
      <c r="C56" s="3555"/>
      <c r="D56" s="2324">
        <f ca="1">IF(H56="个人住宅",D57,D58)</f>
        <v>662</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674</v>
      </c>
      <c r="O57" s="2533"/>
      <c r="P57" s="2690">
        <f ca="1">N57/M49</f>
        <v>0.57606837606837602</v>
      </c>
    </row>
    <row r="58" spans="1:35" ht="24.75">
      <c r="A58" s="2335" t="s">
        <v>1352</v>
      </c>
      <c r="B58" s="3565" t="s">
        <v>1369</v>
      </c>
      <c r="C58" s="3539"/>
      <c r="D58" s="2324">
        <f ca="1">IF(H58="转让取得",C81,C97)</f>
        <v>662</v>
      </c>
      <c r="E58" s="2334" t="s">
        <v>1364</v>
      </c>
      <c r="F58" s="302" t="s">
        <v>28</v>
      </c>
      <c r="G58" s="2555"/>
      <c r="H58" s="2558"/>
      <c r="I58" s="1808"/>
      <c r="J58" s="3604"/>
      <c r="K58" s="3604"/>
      <c r="L58" s="2530" t="s">
        <v>1370</v>
      </c>
      <c r="M58" s="2534"/>
      <c r="N58" s="2535" t="str">
        <f ca="1">NUMBERSTRING(INT(N57*10000),2)&amp;"元整"</f>
        <v>陆佰柒拾肆万元整</v>
      </c>
      <c r="O58" s="2536"/>
    </row>
    <row r="59" spans="1:35" ht="24.75" thickBot="1">
      <c r="A59" s="3607" t="s">
        <v>1371</v>
      </c>
      <c r="B59" s="3608"/>
      <c r="C59" s="3608"/>
      <c r="D59" s="2560">
        <f ca="1">IF(H59="非个人房产","——",IF(H59="个人住宅（满五唯一有凭证）",0,IF(H59="个人其他（无凭证）",ROUND(D45*F59,0),ROUND(C67*F59,0))))</f>
        <v>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496</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肆佰玖拾陆万元整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31988</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1114</v>
      </c>
      <c r="D63" s="167"/>
      <c r="E63" s="168"/>
      <c r="F63" s="1808"/>
      <c r="G63" s="1808"/>
      <c r="H63" s="1810"/>
      <c r="I63" s="129"/>
      <c r="J63" s="3629" t="s">
        <v>1379</v>
      </c>
      <c r="K63" s="1332" t="s">
        <v>1380</v>
      </c>
      <c r="L63" s="1332">
        <f ca="1">IF(M49&gt;10000,M49*0.5%,IF(AND(M49&gt;1000,M49&lt;=10000),M49*1%,IF(AND(M49&gt;100,M49&lt;=1000),M49*3%,IF(AND(M49&gt;10,M49&lt;=100),M49*5%,M49*8%))))</f>
        <v>11.700000000000001</v>
      </c>
      <c r="M63" s="302">
        <f ca="1">ROUND(L63,1)</f>
        <v>11.7</v>
      </c>
      <c r="N63" s="2543"/>
      <c r="Z63" s="1752"/>
      <c r="AI63" s="1753"/>
    </row>
    <row r="64" spans="1:35" ht="14.25" customHeight="1">
      <c r="A64" s="169" t="s">
        <v>325</v>
      </c>
      <c r="B64" s="170" t="s">
        <v>1381</v>
      </c>
      <c r="C64" s="2565">
        <f ca="1">D45</f>
        <v>1170</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7.0200000000000005</v>
      </c>
      <c r="M64" s="302">
        <f t="shared" ref="M64:M65" ca="1" si="1">ROUND(L64,1)</f>
        <v>7</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1.17</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5.8500000000000005</v>
      </c>
      <c r="M66" s="302">
        <f ca="1">IF(L66&gt;0.5,0.5,ROUND(L66,0))</f>
        <v>0.5</v>
      </c>
      <c r="N66" s="2544" t="s">
        <v>1388</v>
      </c>
      <c r="Z66" s="1752"/>
      <c r="AI66" s="1753"/>
    </row>
    <row r="67" spans="1:35" ht="14.25" customHeight="1">
      <c r="A67" s="173" t="s">
        <v>328</v>
      </c>
      <c r="B67" s="174" t="s">
        <v>1389</v>
      </c>
      <c r="C67" s="2568">
        <f ca="1">C63-C66</f>
        <v>1114</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3.0049999999999999</v>
      </c>
      <c r="M67" s="302">
        <f ca="1">ROUND(L67*0.9,1)</f>
        <v>2.7</v>
      </c>
      <c r="N67" s="2543"/>
      <c r="Z67" s="1752"/>
      <c r="AI67" s="1753"/>
    </row>
    <row r="68" spans="1:35" ht="14.25" customHeight="1" thickBot="1">
      <c r="A68" s="176" t="s">
        <v>329</v>
      </c>
      <c r="B68" s="177" t="s">
        <v>1391</v>
      </c>
      <c r="C68" s="2569">
        <f ca="1">IF(C67&lt;=0,0,ROUND(C67*D68,0))</f>
        <v>62</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23.400000000000002</v>
      </c>
      <c r="M68" s="302">
        <f ca="1">ROUND(L68,1)</f>
        <v>23.4</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47</v>
      </c>
      <c r="N69" s="2545">
        <f ca="1">M69/M49</f>
        <v>4.0170940170940174E-2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1114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1107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158.14285714285714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662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1114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1107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158.14285714285714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662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比较法-商业</v>
      </c>
      <c r="D101" s="2586" t="str">
        <f>D4</f>
        <v>收益法 (元)</v>
      </c>
      <c r="E101" s="3626" t="s">
        <v>1431</v>
      </c>
      <c r="F101" s="3583"/>
      <c r="G101" s="1827" t="s">
        <v>1432</v>
      </c>
      <c r="H101" s="2595">
        <f ca="1">H118</f>
        <v>1170</v>
      </c>
      <c r="I101" s="129"/>
    </row>
    <row r="102" spans="1:35" ht="18.75" customHeight="1">
      <c r="A102" s="3585" t="s">
        <v>1433</v>
      </c>
      <c r="B102" s="2584" t="s">
        <v>1432</v>
      </c>
      <c r="C102" s="2585">
        <f ca="1">IF(D32="楼面单价",ROUND(C19,0),C19)</f>
        <v>1318</v>
      </c>
      <c r="D102" s="2586">
        <f ca="1">IF(D32="楼面单价",ROUND(D19,0),D19)</f>
        <v>825</v>
      </c>
      <c r="E102" s="3626"/>
      <c r="F102" s="3583"/>
      <c r="G102" s="1827" t="s">
        <v>1434</v>
      </c>
      <c r="H102" s="2555">
        <f ca="1">I118</f>
        <v>75458</v>
      </c>
      <c r="I102" s="129"/>
    </row>
    <row r="103" spans="1:35" ht="42.75" customHeight="1">
      <c r="A103" s="3585"/>
      <c r="B103" s="2584" t="s">
        <v>1434</v>
      </c>
      <c r="C103" s="2587">
        <f ca="1">C20</f>
        <v>85000</v>
      </c>
      <c r="D103" s="2588">
        <f ca="1">D20</f>
        <v>53193</v>
      </c>
      <c r="E103" s="3620" t="s">
        <v>1435</v>
      </c>
      <c r="F103" s="3621"/>
      <c r="G103" s="1828" t="s">
        <v>1436</v>
      </c>
      <c r="H103" s="2595">
        <f>IF(D36="正常操作",H104+H105+H106,H105+H106)</f>
        <v>0</v>
      </c>
      <c r="I103" s="129"/>
    </row>
    <row r="104" spans="1:35" ht="18.75" customHeight="1">
      <c r="A104" s="3585" t="s">
        <v>1437</v>
      </c>
      <c r="B104" s="2589" t="s">
        <v>1432</v>
      </c>
      <c r="C104" s="2590">
        <f ca="1">H118</f>
        <v>1170</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75458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1170</v>
      </c>
      <c r="I107" s="129"/>
    </row>
    <row r="108" spans="1:35" ht="18.75" customHeight="1">
      <c r="A108" s="129"/>
      <c r="B108" s="129"/>
      <c r="C108" s="129"/>
      <c r="D108" s="129"/>
      <c r="E108" s="3582"/>
      <c r="F108" s="3583"/>
      <c r="G108" s="1827" t="s">
        <v>1434</v>
      </c>
      <c r="H108" s="2555">
        <f ca="1">IF(H107=H101,H102,ROUND(H107*10000/'数据-汇总表'!E3,0))</f>
        <v>75458</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155.06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1170</v>
      </c>
      <c r="I118" s="2329">
        <f ca="1">ROUND(IF(D32="楼面单价",C32,H118*10000/B118),0)</f>
        <v>75458</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壹仟壹佰柒拾万元整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1170</v>
      </c>
      <c r="E122" s="3618"/>
      <c r="F122" s="3618"/>
      <c r="G122" s="3618"/>
      <c r="H122" s="3618"/>
      <c r="I122" s="3619"/>
      <c r="AA122" s="725"/>
    </row>
    <row r="123" spans="1:27" ht="18.75" customHeight="1">
      <c r="A123" s="3553" t="s">
        <v>1452</v>
      </c>
      <c r="B123" s="3553"/>
      <c r="C123" s="3553"/>
      <c r="D123" s="3593" t="str">
        <f ca="1">NUMBERSTRING(INT(D122*10000),2)&amp;"元整"</f>
        <v>壹仟壹佰柒拾万元整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G47" sqref="G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3393</v>
      </c>
      <c r="F1" s="1879" t="s">
        <v>3394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1318.01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85000</v>
      </c>
      <c r="C3" s="354" t="s">
        <v>1768</v>
      </c>
      <c r="D3" s="353">
        <f>IF(D1="",'数据-汇总表'!E3,SUMIF('数据-汇总表'!$C19:$C33,D1,'数据-汇总表'!$E19:$E33))</f>
        <v>155.06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52" t="s">
        <v>1770</v>
      </c>
      <c r="D4" s="3653"/>
      <c r="E4" s="3654" t="s">
        <v>1771</v>
      </c>
      <c r="F4" s="3655"/>
      <c r="G4" s="3652" t="s">
        <v>1772</v>
      </c>
      <c r="H4" s="3653"/>
      <c r="I4" s="3652" t="s">
        <v>1773</v>
      </c>
      <c r="J4" s="3653"/>
      <c r="K4" s="559" t="s">
        <v>1774</v>
      </c>
      <c r="L4" s="2715"/>
      <c r="M4" s="2716"/>
      <c r="N4" s="2716"/>
      <c r="O4" s="2716"/>
      <c r="P4" s="3656" t="s">
        <v>1775</v>
      </c>
      <c r="Q4" s="3657"/>
      <c r="R4" s="3662" t="s">
        <v>1771</v>
      </c>
      <c r="S4" s="3663"/>
      <c r="T4" s="3662" t="s">
        <v>1772</v>
      </c>
      <c r="U4" s="3663"/>
      <c r="V4" s="3647" t="s">
        <v>1773</v>
      </c>
      <c r="W4" s="3647"/>
      <c r="X4" s="1355"/>
      <c r="Y4" s="3662" t="s">
        <v>1775</v>
      </c>
      <c r="Z4" s="3663"/>
      <c r="AA4" s="3649" t="s">
        <v>1771</v>
      </c>
      <c r="AB4" s="3647" t="s">
        <v>1772</v>
      </c>
      <c r="AC4" s="3649" t="s">
        <v>1773</v>
      </c>
    </row>
    <row r="5" spans="1:29" ht="15">
      <c r="A5" s="358"/>
      <c r="B5" s="359"/>
      <c r="C5" s="3670" t="s">
        <v>1673</v>
      </c>
      <c r="D5" s="3671"/>
      <c r="E5" s="3677" t="s">
        <v>1674</v>
      </c>
      <c r="F5" s="3678"/>
      <c r="G5" s="3670" t="s">
        <v>1675</v>
      </c>
      <c r="H5" s="3671"/>
      <c r="I5" s="3670" t="s">
        <v>1676</v>
      </c>
      <c r="J5" s="3671"/>
      <c r="K5" s="559"/>
      <c r="L5" s="2715"/>
      <c r="M5" s="2716"/>
      <c r="N5" s="2716"/>
      <c r="O5" s="2716"/>
      <c r="P5" s="3658"/>
      <c r="Q5" s="3659"/>
      <c r="R5" s="3664"/>
      <c r="S5" s="3665"/>
      <c r="T5" s="3664"/>
      <c r="U5" s="3665"/>
      <c r="V5" s="3647"/>
      <c r="W5" s="3647"/>
      <c r="X5" s="1355"/>
      <c r="Y5" s="3664"/>
      <c r="Z5" s="3665"/>
      <c r="AA5" s="3650"/>
      <c r="AB5" s="3647"/>
      <c r="AC5" s="3650"/>
    </row>
    <row r="6" spans="1:29" ht="15.75" thickBot="1">
      <c r="A6" s="360"/>
      <c r="B6" s="361"/>
      <c r="C6" s="3668" t="s">
        <v>1677</v>
      </c>
      <c r="D6" s="3669"/>
      <c r="E6" s="3675" t="s">
        <v>1677</v>
      </c>
      <c r="F6" s="3676"/>
      <c r="G6" s="3668" t="s">
        <v>1677</v>
      </c>
      <c r="H6" s="3669"/>
      <c r="I6" s="3668" t="s">
        <v>1677</v>
      </c>
      <c r="J6" s="3669"/>
      <c r="K6" s="559" t="s">
        <v>1678</v>
      </c>
      <c r="L6" s="2715"/>
      <c r="M6" s="2716"/>
      <c r="N6" s="2716"/>
      <c r="O6" s="2716"/>
      <c r="P6" s="3660"/>
      <c r="Q6" s="3661"/>
      <c r="R6" s="3664"/>
      <c r="S6" s="3665"/>
      <c r="T6" s="3666"/>
      <c r="U6" s="3667"/>
      <c r="V6" s="3647"/>
      <c r="W6" s="3647"/>
      <c r="X6" s="1355"/>
      <c r="Y6" s="3666"/>
      <c r="Z6" s="3667"/>
      <c r="AA6" s="3651"/>
      <c r="AB6" s="3647"/>
      <c r="AC6" s="3651"/>
    </row>
    <row r="7" spans="1:29" s="108" customFormat="1" ht="15.75" thickBot="1">
      <c r="A7" s="362" t="s">
        <v>1679</v>
      </c>
      <c r="B7" s="363"/>
      <c r="C7" s="364">
        <f>'数据-取费表'!B2</f>
        <v>45029</v>
      </c>
      <c r="D7" s="365">
        <v>100</v>
      </c>
      <c r="E7" s="366">
        <f>C7</f>
        <v>45029</v>
      </c>
      <c r="F7" s="367">
        <f>SUMIF(58:58,YEAR(E7)&amp;"-"&amp;MONTH(E7),59:59)</f>
        <v>100</v>
      </c>
      <c r="G7" s="366">
        <f>C7</f>
        <v>45029</v>
      </c>
      <c r="H7" s="365">
        <f>SUMIF(58:58,YEAR(G7)&amp;"-"&amp;MONTH(G7),59:59)</f>
        <v>100</v>
      </c>
      <c r="I7" s="366">
        <f>C7</f>
        <v>45029</v>
      </c>
      <c r="J7" s="365">
        <f>SUMIF(58:58,YEAR(I7)&amp;"-"&amp;MONTH(I7),59:59)</f>
        <v>100</v>
      </c>
      <c r="K7" s="560"/>
      <c r="L7" s="2717"/>
      <c r="M7" s="2718"/>
      <c r="N7" s="2718"/>
      <c r="O7" s="2718"/>
      <c r="P7" s="3672" t="s">
        <v>1680</v>
      </c>
      <c r="Q7" s="3674"/>
      <c r="R7" s="701" t="s">
        <v>14</v>
      </c>
      <c r="S7" s="702">
        <f t="shared" ref="S7:S15" si="0">F7</f>
        <v>100</v>
      </c>
      <c r="T7" s="701" t="s">
        <v>14</v>
      </c>
      <c r="U7" s="702">
        <f t="shared" ref="U7:U15" si="1">H7</f>
        <v>100</v>
      </c>
      <c r="V7" s="701" t="s">
        <v>14</v>
      </c>
      <c r="W7" s="702">
        <f t="shared" ref="W7:W15" si="2">J7</f>
        <v>100</v>
      </c>
      <c r="X7" s="703"/>
      <c r="Y7" s="3672" t="s">
        <v>1680</v>
      </c>
      <c r="Z7" s="3673"/>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8"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48"/>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8"/>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8"/>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8"/>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38" t="s">
        <v>1691</v>
      </c>
      <c r="Q15" s="1352" t="str">
        <f t="shared" si="6"/>
        <v>商业繁华度</v>
      </c>
      <c r="R15" s="705" t="s">
        <v>14</v>
      </c>
      <c r="S15" s="706">
        <f t="shared" si="0"/>
        <v>100</v>
      </c>
      <c r="T15" s="705" t="s">
        <v>14</v>
      </c>
      <c r="U15" s="706">
        <f t="shared" si="1"/>
        <v>100</v>
      </c>
      <c r="V15" s="705" t="s">
        <v>14</v>
      </c>
      <c r="W15" s="706">
        <f t="shared" si="2"/>
        <v>100</v>
      </c>
      <c r="X15" s="1355"/>
      <c r="Y15" s="364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39"/>
      <c r="Q16" s="1352"/>
      <c r="R16" s="705"/>
      <c r="S16" s="706"/>
      <c r="T16" s="705"/>
      <c r="U16" s="706"/>
      <c r="V16" s="705"/>
      <c r="W16" s="706"/>
      <c r="X16" s="1355"/>
      <c r="Y16" s="364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39"/>
      <c r="Q17" s="1352" t="str">
        <f>B17</f>
        <v>交通便捷度</v>
      </c>
      <c r="R17" s="705" t="s">
        <v>14</v>
      </c>
      <c r="S17" s="706">
        <f>F17</f>
        <v>100</v>
      </c>
      <c r="T17" s="705" t="s">
        <v>14</v>
      </c>
      <c r="U17" s="706">
        <f>H17</f>
        <v>100</v>
      </c>
      <c r="V17" s="705" t="s">
        <v>14</v>
      </c>
      <c r="W17" s="706">
        <f>J17</f>
        <v>100</v>
      </c>
      <c r="X17" s="1355"/>
      <c r="Y17" s="36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39"/>
      <c r="Q18" s="1352"/>
      <c r="R18" s="705"/>
      <c r="S18" s="706"/>
      <c r="T18" s="705"/>
      <c r="U18" s="706"/>
      <c r="V18" s="705"/>
      <c r="W18" s="706"/>
      <c r="X18" s="1355"/>
      <c r="Y18" s="364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39"/>
      <c r="Q19" s="1352" t="str">
        <f>B19</f>
        <v>公共配套设施</v>
      </c>
      <c r="R19" s="705" t="s">
        <v>14</v>
      </c>
      <c r="S19" s="706">
        <f>F19</f>
        <v>100</v>
      </c>
      <c r="T19" s="705" t="s">
        <v>14</v>
      </c>
      <c r="U19" s="706">
        <f>H19</f>
        <v>100</v>
      </c>
      <c r="V19" s="705" t="s">
        <v>14</v>
      </c>
      <c r="W19" s="706">
        <f>J19</f>
        <v>100</v>
      </c>
      <c r="X19" s="1355"/>
      <c r="Y19" s="36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39"/>
      <c r="Q20" s="1352"/>
      <c r="R20" s="705"/>
      <c r="S20" s="706"/>
      <c r="T20" s="705"/>
      <c r="U20" s="706"/>
      <c r="V20" s="705"/>
      <c r="W20" s="706"/>
      <c r="X20" s="1355"/>
      <c r="Y20" s="364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39"/>
      <c r="Q21" s="1352" t="str">
        <f>B21</f>
        <v>基础设施水平</v>
      </c>
      <c r="R21" s="705" t="s">
        <v>14</v>
      </c>
      <c r="S21" s="706">
        <f>F21</f>
        <v>100</v>
      </c>
      <c r="T21" s="705" t="s">
        <v>14</v>
      </c>
      <c r="U21" s="706">
        <f>H21</f>
        <v>100</v>
      </c>
      <c r="V21" s="705" t="s">
        <v>14</v>
      </c>
      <c r="W21" s="706">
        <f>J21</f>
        <v>100</v>
      </c>
      <c r="X21" s="1355"/>
      <c r="Y21" s="36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39"/>
      <c r="Q22" s="1352"/>
      <c r="R22" s="705"/>
      <c r="S22" s="706"/>
      <c r="T22" s="705"/>
      <c r="U22" s="706"/>
      <c r="V22" s="705"/>
      <c r="W22" s="706"/>
      <c r="X22" s="1355"/>
      <c r="Y22" s="364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39"/>
      <c r="Q23" s="1352" t="str">
        <f>B23</f>
        <v>自然及人文环境</v>
      </c>
      <c r="R23" s="705" t="s">
        <v>14</v>
      </c>
      <c r="S23" s="706">
        <f>F23</f>
        <v>100</v>
      </c>
      <c r="T23" s="705" t="s">
        <v>14</v>
      </c>
      <c r="U23" s="706">
        <f>H23</f>
        <v>100</v>
      </c>
      <c r="V23" s="705" t="s">
        <v>14</v>
      </c>
      <c r="W23" s="706">
        <f>J23</f>
        <v>100</v>
      </c>
      <c r="X23" s="1355"/>
      <c r="Y23" s="364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39"/>
      <c r="Q24" s="1352"/>
      <c r="R24" s="705"/>
      <c r="S24" s="706"/>
      <c r="T24" s="705"/>
      <c r="U24" s="706"/>
      <c r="V24" s="705"/>
      <c r="W24" s="706"/>
      <c r="X24" s="1355"/>
      <c r="Y24" s="364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39"/>
      <c r="Q25" s="1352" t="str">
        <f t="shared" ref="Q25:Q46" si="11">B25</f>
        <v>临街状况</v>
      </c>
      <c r="R25" s="705" t="s">
        <v>14</v>
      </c>
      <c r="S25" s="706">
        <f>F25</f>
        <v>100</v>
      </c>
      <c r="T25" s="705" t="s">
        <v>14</v>
      </c>
      <c r="U25" s="706">
        <f>H25</f>
        <v>100</v>
      </c>
      <c r="V25" s="705" t="s">
        <v>14</v>
      </c>
      <c r="W25" s="706">
        <f>J25</f>
        <v>100</v>
      </c>
      <c r="X25" s="1355"/>
      <c r="Y25" s="364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39"/>
      <c r="Q26" s="1352" t="str">
        <f t="shared" si="11"/>
        <v>平面位置/可视性</v>
      </c>
      <c r="R26" s="705" t="s">
        <v>14</v>
      </c>
      <c r="S26" s="706">
        <f>F26</f>
        <v>100</v>
      </c>
      <c r="T26" s="705" t="s">
        <v>14</v>
      </c>
      <c r="U26" s="706">
        <f>H26</f>
        <v>100</v>
      </c>
      <c r="V26" s="705" t="s">
        <v>14</v>
      </c>
      <c r="W26" s="706">
        <f>J26</f>
        <v>100</v>
      </c>
      <c r="X26" s="1355"/>
      <c r="Y26" s="364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39"/>
      <c r="Q27" s="1343" t="str">
        <f t="shared" si="11"/>
        <v>人流量</v>
      </c>
      <c r="R27" s="701" t="s">
        <v>14</v>
      </c>
      <c r="S27" s="702">
        <f>F27</f>
        <v>100</v>
      </c>
      <c r="T27" s="701" t="s">
        <v>14</v>
      </c>
      <c r="U27" s="702">
        <f>H27</f>
        <v>100</v>
      </c>
      <c r="V27" s="701" t="s">
        <v>14</v>
      </c>
      <c r="W27" s="702">
        <f>J27</f>
        <v>100</v>
      </c>
      <c r="X27" s="703"/>
      <c r="Y27" s="364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39"/>
      <c r="Q29" s="1352">
        <f t="shared" si="11"/>
        <v>111</v>
      </c>
      <c r="R29" s="705" t="s">
        <v>14</v>
      </c>
      <c r="S29" s="706">
        <f t="shared" si="12"/>
        <v>100</v>
      </c>
      <c r="T29" s="705" t="s">
        <v>14</v>
      </c>
      <c r="U29" s="706">
        <f t="shared" si="13"/>
        <v>100</v>
      </c>
      <c r="V29" s="705" t="s">
        <v>14</v>
      </c>
      <c r="W29" s="706">
        <f t="shared" si="14"/>
        <v>100</v>
      </c>
      <c r="X29" s="1355"/>
      <c r="Y29" s="364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39"/>
      <c r="Q30" s="1352">
        <f t="shared" si="11"/>
        <v>111</v>
      </c>
      <c r="R30" s="705" t="s">
        <v>14</v>
      </c>
      <c r="S30" s="706">
        <f t="shared" si="12"/>
        <v>100</v>
      </c>
      <c r="T30" s="705" t="s">
        <v>14</v>
      </c>
      <c r="U30" s="706">
        <f t="shared" si="13"/>
        <v>100</v>
      </c>
      <c r="V30" s="705" t="s">
        <v>14</v>
      </c>
      <c r="W30" s="706">
        <f t="shared" si="14"/>
        <v>100</v>
      </c>
      <c r="X30" s="1355"/>
      <c r="Y30" s="364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39"/>
      <c r="Q31" s="1352">
        <f t="shared" si="11"/>
        <v>111</v>
      </c>
      <c r="R31" s="705" t="s">
        <v>14</v>
      </c>
      <c r="S31" s="706">
        <f t="shared" si="12"/>
        <v>100</v>
      </c>
      <c r="T31" s="705" t="s">
        <v>14</v>
      </c>
      <c r="U31" s="706">
        <f t="shared" si="13"/>
        <v>100</v>
      </c>
      <c r="V31" s="705" t="s">
        <v>14</v>
      </c>
      <c r="W31" s="706">
        <f t="shared" si="14"/>
        <v>100</v>
      </c>
      <c r="X31" s="1355"/>
      <c r="Y31" s="364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42" t="s">
        <v>1696</v>
      </c>
      <c r="Q32" s="1352" t="str">
        <f t="shared" si="11"/>
        <v>商业类型</v>
      </c>
      <c r="R32" s="705" t="s">
        <v>14</v>
      </c>
      <c r="S32" s="706">
        <f t="shared" si="12"/>
        <v>100</v>
      </c>
      <c r="T32" s="705" t="s">
        <v>14</v>
      </c>
      <c r="U32" s="706">
        <f t="shared" si="13"/>
        <v>100</v>
      </c>
      <c r="V32" s="705" t="s">
        <v>14</v>
      </c>
      <c r="W32" s="706">
        <f t="shared" si="14"/>
        <v>100</v>
      </c>
      <c r="X32" s="1355"/>
      <c r="Y32" s="364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43"/>
      <c r="Q33" s="707" t="str">
        <f t="shared" si="11"/>
        <v>项目建筑规模</v>
      </c>
      <c r="R33" s="708" t="s">
        <v>14</v>
      </c>
      <c r="S33" s="709">
        <f t="shared" si="12"/>
        <v>100</v>
      </c>
      <c r="T33" s="708" t="s">
        <v>14</v>
      </c>
      <c r="U33" s="709">
        <f t="shared" si="13"/>
        <v>100</v>
      </c>
      <c r="V33" s="708" t="s">
        <v>14</v>
      </c>
      <c r="W33" s="709">
        <f t="shared" si="14"/>
        <v>100</v>
      </c>
      <c r="X33" s="710"/>
      <c r="Y33" s="3645"/>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43"/>
      <c r="Q34" s="1352" t="str">
        <f t="shared" si="11"/>
        <v>建筑结构</v>
      </c>
      <c r="R34" s="705" t="s">
        <v>14</v>
      </c>
      <c r="S34" s="706">
        <f t="shared" si="12"/>
        <v>100</v>
      </c>
      <c r="T34" s="705" t="s">
        <v>14</v>
      </c>
      <c r="U34" s="706">
        <f t="shared" si="13"/>
        <v>100</v>
      </c>
      <c r="V34" s="705" t="s">
        <v>14</v>
      </c>
      <c r="W34" s="706">
        <f t="shared" si="14"/>
        <v>100</v>
      </c>
      <c r="X34" s="1355"/>
      <c r="Y34" s="364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43"/>
      <c r="Q35" s="1352" t="str">
        <f t="shared" si="11"/>
        <v>公共部分装修</v>
      </c>
      <c r="R35" s="705" t="s">
        <v>14</v>
      </c>
      <c r="S35" s="706">
        <f t="shared" si="12"/>
        <v>100</v>
      </c>
      <c r="T35" s="705" t="s">
        <v>14</v>
      </c>
      <c r="U35" s="706">
        <f t="shared" si="13"/>
        <v>100</v>
      </c>
      <c r="V35" s="705" t="s">
        <v>14</v>
      </c>
      <c r="W35" s="706">
        <f t="shared" si="14"/>
        <v>100</v>
      </c>
      <c r="X35" s="1355"/>
      <c r="Y35" s="3645"/>
      <c r="Z35" s="1356" t="str">
        <f t="shared" si="15"/>
        <v>公共部分装修</v>
      </c>
      <c r="AA35" s="1353">
        <f t="shared" si="3"/>
        <v>1</v>
      </c>
      <c r="AB35" s="1353">
        <f t="shared" si="4"/>
        <v>1</v>
      </c>
      <c r="AC35" s="1353">
        <f t="shared" si="5"/>
        <v>1</v>
      </c>
    </row>
    <row r="36" spans="1:29" ht="15">
      <c r="A36" s="423"/>
      <c r="B36" s="375" t="s">
        <v>1786</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c r="L36" s="2722"/>
      <c r="M36" s="2716"/>
      <c r="N36" s="2716"/>
      <c r="O36" s="2716"/>
      <c r="P36" s="3643"/>
      <c r="Q36" s="1352" t="str">
        <f t="shared" si="11"/>
        <v>成新度</v>
      </c>
      <c r="R36" s="705" t="s">
        <v>14</v>
      </c>
      <c r="S36" s="706">
        <f t="shared" si="12"/>
        <v>100</v>
      </c>
      <c r="T36" s="705" t="s">
        <v>14</v>
      </c>
      <c r="U36" s="706">
        <f t="shared" si="13"/>
        <v>100</v>
      </c>
      <c r="V36" s="705" t="s">
        <v>14</v>
      </c>
      <c r="W36" s="706">
        <f t="shared" si="14"/>
        <v>100</v>
      </c>
      <c r="X36" s="1355"/>
      <c r="Y36" s="3645"/>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43"/>
      <c r="Q37" s="1343" t="str">
        <f t="shared" si="11"/>
        <v>市政基础设施</v>
      </c>
      <c r="R37" s="701" t="s">
        <v>14</v>
      </c>
      <c r="S37" s="702">
        <f t="shared" si="12"/>
        <v>100</v>
      </c>
      <c r="T37" s="701" t="s">
        <v>14</v>
      </c>
      <c r="U37" s="702">
        <f t="shared" si="13"/>
        <v>100</v>
      </c>
      <c r="V37" s="701" t="s">
        <v>14</v>
      </c>
      <c r="W37" s="702">
        <f t="shared" si="14"/>
        <v>100</v>
      </c>
      <c r="X37" s="703"/>
      <c r="Y37" s="364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43" t="s">
        <v>1696</v>
      </c>
      <c r="Q38" s="1352" t="str">
        <f t="shared" si="11"/>
        <v>业态</v>
      </c>
      <c r="R38" s="705" t="s">
        <v>14</v>
      </c>
      <c r="S38" s="706">
        <f t="shared" si="12"/>
        <v>100</v>
      </c>
      <c r="T38" s="705" t="s">
        <v>14</v>
      </c>
      <c r="U38" s="706">
        <f t="shared" si="13"/>
        <v>100</v>
      </c>
      <c r="V38" s="705" t="s">
        <v>14</v>
      </c>
      <c r="W38" s="706">
        <f t="shared" si="14"/>
        <v>100</v>
      </c>
      <c r="X38" s="1355"/>
      <c r="Y38" s="364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43"/>
      <c r="Q39" s="1352" t="str">
        <f t="shared" si="11"/>
        <v>层高</v>
      </c>
      <c r="R39" s="705" t="s">
        <v>14</v>
      </c>
      <c r="S39" s="706">
        <f t="shared" si="12"/>
        <v>100</v>
      </c>
      <c r="T39" s="705" t="s">
        <v>14</v>
      </c>
      <c r="U39" s="706">
        <f t="shared" si="13"/>
        <v>100</v>
      </c>
      <c r="V39" s="705" t="s">
        <v>14</v>
      </c>
      <c r="W39" s="706">
        <f t="shared" si="14"/>
        <v>100</v>
      </c>
      <c r="X39" s="1355"/>
      <c r="Y39" s="364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43"/>
      <c r="Q40" s="1352" t="str">
        <f t="shared" si="11"/>
        <v>单套建筑面积</v>
      </c>
      <c r="R40" s="705" t="s">
        <v>14</v>
      </c>
      <c r="S40" s="706">
        <f t="shared" si="12"/>
        <v>100</v>
      </c>
      <c r="T40" s="705" t="s">
        <v>14</v>
      </c>
      <c r="U40" s="706">
        <f t="shared" si="13"/>
        <v>100</v>
      </c>
      <c r="V40" s="705" t="s">
        <v>14</v>
      </c>
      <c r="W40" s="706">
        <f t="shared" si="14"/>
        <v>100</v>
      </c>
      <c r="X40" s="1355"/>
      <c r="Y40" s="364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43"/>
      <c r="Q41" s="707" t="str">
        <f t="shared" si="11"/>
        <v>进深比</v>
      </c>
      <c r="R41" s="708" t="s">
        <v>14</v>
      </c>
      <c r="S41" s="709">
        <f t="shared" si="12"/>
        <v>100</v>
      </c>
      <c r="T41" s="708" t="s">
        <v>14</v>
      </c>
      <c r="U41" s="709">
        <f t="shared" si="13"/>
        <v>100</v>
      </c>
      <c r="V41" s="708" t="s">
        <v>14</v>
      </c>
      <c r="W41" s="709">
        <f t="shared" si="14"/>
        <v>100</v>
      </c>
      <c r="X41" s="710"/>
      <c r="Y41" s="364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43"/>
      <c r="Q42" s="1352" t="str">
        <f t="shared" si="11"/>
        <v>内部装修</v>
      </c>
      <c r="R42" s="705" t="s">
        <v>14</v>
      </c>
      <c r="S42" s="706">
        <f t="shared" si="12"/>
        <v>100</v>
      </c>
      <c r="T42" s="705" t="s">
        <v>14</v>
      </c>
      <c r="U42" s="706">
        <f t="shared" si="13"/>
        <v>100</v>
      </c>
      <c r="V42" s="705" t="s">
        <v>14</v>
      </c>
      <c r="W42" s="706">
        <f t="shared" si="14"/>
        <v>100</v>
      </c>
      <c r="X42" s="1355"/>
      <c r="Y42" s="364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43"/>
      <c r="Q43" s="1352" t="str">
        <f t="shared" si="11"/>
        <v>内部装修维护情况</v>
      </c>
      <c r="R43" s="705" t="s">
        <v>14</v>
      </c>
      <c r="S43" s="706">
        <f t="shared" si="12"/>
        <v>100</v>
      </c>
      <c r="T43" s="705" t="s">
        <v>14</v>
      </c>
      <c r="U43" s="706">
        <f t="shared" si="13"/>
        <v>100</v>
      </c>
      <c r="V43" s="705" t="s">
        <v>14</v>
      </c>
      <c r="W43" s="706">
        <f t="shared" si="14"/>
        <v>100</v>
      </c>
      <c r="X43" s="1355"/>
      <c r="Y43" s="364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43"/>
      <c r="Q44" s="1343">
        <f t="shared" si="11"/>
        <v>111</v>
      </c>
      <c r="R44" s="701" t="s">
        <v>14</v>
      </c>
      <c r="S44" s="702">
        <f t="shared" si="12"/>
        <v>100</v>
      </c>
      <c r="T44" s="701" t="s">
        <v>14</v>
      </c>
      <c r="U44" s="702">
        <f t="shared" si="13"/>
        <v>100</v>
      </c>
      <c r="V44" s="701" t="s">
        <v>14</v>
      </c>
      <c r="W44" s="702">
        <f t="shared" si="14"/>
        <v>100</v>
      </c>
      <c r="X44" s="703"/>
      <c r="Y44" s="364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43"/>
      <c r="Q45" s="1352">
        <f t="shared" si="11"/>
        <v>111</v>
      </c>
      <c r="R45" s="705" t="s">
        <v>14</v>
      </c>
      <c r="S45" s="706">
        <f t="shared" si="12"/>
        <v>100</v>
      </c>
      <c r="T45" s="705" t="s">
        <v>14</v>
      </c>
      <c r="U45" s="706">
        <f t="shared" si="13"/>
        <v>100</v>
      </c>
      <c r="V45" s="705" t="s">
        <v>14</v>
      </c>
      <c r="W45" s="706">
        <f t="shared" si="14"/>
        <v>100</v>
      </c>
      <c r="X45" s="1355"/>
      <c r="Y45" s="364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44"/>
      <c r="Q46" s="1352">
        <f t="shared" si="11"/>
        <v>111</v>
      </c>
      <c r="R46" s="705" t="s">
        <v>14</v>
      </c>
      <c r="S46" s="706">
        <f t="shared" si="12"/>
        <v>100</v>
      </c>
      <c r="T46" s="705" t="s">
        <v>14</v>
      </c>
      <c r="U46" s="706">
        <f t="shared" si="13"/>
        <v>100</v>
      </c>
      <c r="V46" s="705" t="s">
        <v>14</v>
      </c>
      <c r="W46" s="706">
        <f t="shared" si="14"/>
        <v>100</v>
      </c>
      <c r="X46" s="1355"/>
      <c r="Y46" s="3646"/>
      <c r="Z46" s="1356">
        <f t="shared" si="15"/>
        <v>111</v>
      </c>
      <c r="AA46" s="1353">
        <f t="shared" si="3"/>
        <v>1</v>
      </c>
      <c r="AB46" s="1353">
        <f t="shared" si="4"/>
        <v>1</v>
      </c>
      <c r="AC46" s="1353">
        <f t="shared" si="5"/>
        <v>1</v>
      </c>
    </row>
    <row r="47" spans="1:29" ht="15">
      <c r="A47" s="430" t="s">
        <v>1708</v>
      </c>
      <c r="B47" s="431"/>
      <c r="C47" s="1154" t="s">
        <v>0</v>
      </c>
      <c r="D47" s="1155"/>
      <c r="E47" s="1156">
        <v>85000</v>
      </c>
      <c r="F47" s="1157"/>
      <c r="G47" s="1158">
        <f>E47</f>
        <v>85000</v>
      </c>
      <c r="H47" s="1159"/>
      <c r="I47" s="1156">
        <f>E47</f>
        <v>85000</v>
      </c>
      <c r="J47" s="1159"/>
      <c r="K47" s="714"/>
      <c r="L47" s="2724"/>
      <c r="M47" s="2725"/>
      <c r="N47" s="2716"/>
      <c r="O47" s="2725"/>
      <c r="P47" s="3633" t="str">
        <f>A47</f>
        <v>成交单价（元/平方米）</v>
      </c>
      <c r="Q47" s="3633"/>
      <c r="R47" s="3647">
        <f>E47</f>
        <v>85000</v>
      </c>
      <c r="S47" s="3647"/>
      <c r="T47" s="3647">
        <f>G47</f>
        <v>85000</v>
      </c>
      <c r="U47" s="3647"/>
      <c r="V47" s="3647">
        <f>I47</f>
        <v>85000</v>
      </c>
      <c r="W47" s="3647"/>
      <c r="X47" s="690"/>
      <c r="Y47" s="712"/>
      <c r="Z47" s="690"/>
      <c r="AA47" s="690"/>
      <c r="AB47" s="690"/>
      <c r="AC47" s="690"/>
    </row>
    <row r="48" spans="1:29" ht="15.75" thickBot="1">
      <c r="A48" s="437" t="s">
        <v>1793</v>
      </c>
      <c r="B48" s="438"/>
      <c r="C48" s="1160">
        <f>R49</f>
        <v>85000</v>
      </c>
      <c r="D48" s="2317" t="s">
        <v>2138</v>
      </c>
      <c r="E48" s="1161">
        <f>R48</f>
        <v>85000</v>
      </c>
      <c r="F48" s="2318"/>
      <c r="G48" s="1160">
        <f>T48</f>
        <v>85000</v>
      </c>
      <c r="H48" s="2318"/>
      <c r="I48" s="1161">
        <f>V48</f>
        <v>85000</v>
      </c>
      <c r="J48" s="2318"/>
      <c r="K48" s="2320">
        <f>F48+H48+J48</f>
        <v>0</v>
      </c>
      <c r="L48" s="2724"/>
      <c r="M48" s="2725"/>
      <c r="N48" s="2716"/>
      <c r="O48" s="2725"/>
      <c r="P48" s="3633" t="str">
        <f>A48</f>
        <v>比较价值（元/平方米）</v>
      </c>
      <c r="Q48" s="3633"/>
      <c r="R48" s="3634">
        <f>IF(F1="售价",ROUND(PRODUCT(R47,AA7:AA46),0),ROUND(PRODUCT(R47,AA7:AA46),1))</f>
        <v>85000</v>
      </c>
      <c r="S48" s="3634"/>
      <c r="T48" s="3634">
        <f>IF(F1="售价",ROUND(PRODUCT(T47,AB7:AB46),0),ROUND(PRODUCT(T47,AB7:AB46),1))</f>
        <v>85000</v>
      </c>
      <c r="U48" s="3634"/>
      <c r="V48" s="3634">
        <f>IF(F1="售价",ROUND(PRODUCT(V47,AC7:AC46),0),ROUND(PRODUCT(V47,AC7:AC46),1))</f>
        <v>85000</v>
      </c>
      <c r="W48" s="3634"/>
      <c r="X48" s="690"/>
      <c r="Y48" s="690"/>
      <c r="Z48" s="690"/>
      <c r="AA48" s="690"/>
      <c r="AB48" s="690"/>
      <c r="AC48" s="690"/>
    </row>
    <row r="49" spans="1:29" ht="15.75" thickBot="1">
      <c r="A49" s="441" t="s">
        <v>1794</v>
      </c>
      <c r="B49" s="442"/>
      <c r="C49" s="1163">
        <f>R49</f>
        <v>85000</v>
      </c>
      <c r="D49" s="1163"/>
      <c r="E49" s="1163"/>
      <c r="F49" s="1163"/>
      <c r="G49" s="1163"/>
      <c r="H49" s="1163"/>
      <c r="I49" s="1163"/>
      <c r="J49" s="1163"/>
      <c r="K49" s="715"/>
      <c r="L49" s="2724"/>
      <c r="M49" s="2725"/>
      <c r="N49" s="2716"/>
      <c r="O49" s="2725"/>
      <c r="P49" s="3635" t="str">
        <f>A49</f>
        <v>估价对象XX用房的比较价值（楼面单价，元/平方米）</v>
      </c>
      <c r="Q49" s="3636"/>
      <c r="R49" s="3637">
        <f>IF(F1="售价",ROUND(IF(D48="简单平均",AVERAGE(R48:V48),R48*F48+T48*H48+V48*J48),0),ROUND(IF(D48="简单平均",AVERAGE(R48:V48),R48*F48+T48*H48+V48*J48),1))</f>
        <v>85000</v>
      </c>
      <c r="S49" s="3637"/>
      <c r="T49" s="3637"/>
      <c r="U49" s="3637"/>
      <c r="V49" s="3637"/>
      <c r="W49" s="36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155.06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155.06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155.06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9" t="s">
        <v>1544</v>
      </c>
    </row>
    <row r="43" spans="1:7" ht="13.5" customHeight="1">
      <c r="A43" s="780" t="s">
        <v>347</v>
      </c>
      <c r="B43" s="215" t="s">
        <v>1545</v>
      </c>
      <c r="C43" s="238">
        <f ca="1">ROUND(IF('数据-取费表'!B22&lt;=1,C39*F22*'数据-取费表'!B21/2,C39*(POWER((1+F22),'数据-取费表'!B21/2)-1)),0)</f>
        <v>0</v>
      </c>
      <c r="D43" s="238"/>
      <c r="E43" s="238"/>
      <c r="F43" s="239"/>
      <c r="G43" s="3680"/>
    </row>
    <row r="44" spans="1:7" ht="13.5" customHeight="1">
      <c r="A44" s="780" t="s">
        <v>348</v>
      </c>
      <c r="B44" s="215" t="s">
        <v>1546</v>
      </c>
      <c r="C44" s="238">
        <f ca="1">ROUND(IF('数据-取费表'!B22&lt;=1,C40*F22*'数据-取费表'!B21/2,C40*(POWER((1+F22),'数据-取费表'!B21/2)-1)),4)</f>
        <v>8.0000000000000004E-4</v>
      </c>
      <c r="D44" s="238"/>
      <c r="E44" s="238"/>
      <c r="F44" s="239"/>
      <c r="G44" s="3681"/>
    </row>
    <row r="45" spans="1:7" s="214" customFormat="1" ht="13.5" customHeight="1">
      <c r="A45" s="255" t="s">
        <v>1547</v>
      </c>
      <c r="B45" s="244" t="s">
        <v>1513</v>
      </c>
      <c r="C45" s="245">
        <f ca="1">C46</f>
        <v>12</v>
      </c>
      <c r="D45" s="235">
        <f ca="1">C47</f>
        <v>4.0000000000000001E-3</v>
      </c>
      <c r="E45" s="236" t="s">
        <v>1539</v>
      </c>
      <c r="F45" s="246">
        <f ca="1">F27</f>
        <v>0.2</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81</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69</v>
      </c>
      <c r="D51" s="232"/>
      <c r="E51" s="232"/>
      <c r="F51" s="264"/>
      <c r="G51" s="234" t="s">
        <v>1560</v>
      </c>
    </row>
    <row r="52" spans="1:7" s="208" customFormat="1" ht="16.5" thickBot="1">
      <c r="A52" s="265" t="s">
        <v>1561</v>
      </c>
      <c r="B52" s="266"/>
      <c r="C52" s="267">
        <f ca="1">C31+C51</f>
        <v>73</v>
      </c>
      <c r="D52" s="266"/>
      <c r="E52" s="266"/>
      <c r="F52" s="266"/>
      <c r="G52" s="268"/>
    </row>
    <row r="55" spans="1:7" ht="15">
      <c r="B55" s="270" t="s">
        <v>1562</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78.647599999999997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5072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31012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31012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31012</v>
      </c>
      <c r="D10" s="845">
        <f ca="1">IF(B1="",'数据-汇总表'!E6,IF(INDIRECT("'数据-取费表'!c"&amp;$G$1)="住宅",INDIRECT("'数据-取费表'!s"&amp;$G$1),INDIRECT("'数据-取费表'!k"&amp;$G$1)+INDIRECT("'数据-取费表'!s"&amp;$G$1)))</f>
        <v>155.06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31012</v>
      </c>
      <c r="D19" s="849">
        <f ca="1">D9+D10</f>
        <v>155.06</v>
      </c>
      <c r="E19" s="211">
        <f>'数据-取费表'!B31</f>
        <v>200</v>
      </c>
      <c r="F19" s="231"/>
      <c r="G19" s="1856"/>
    </row>
    <row r="20" spans="1:7" s="214" customFormat="1" ht="13.5" customHeight="1">
      <c r="A20" s="255" t="s">
        <v>1574</v>
      </c>
      <c r="B20" s="210" t="s">
        <v>1575</v>
      </c>
      <c r="C20" s="232">
        <f ca="1">ROUND((C5+C19)*F20,0)</f>
        <v>1240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5305</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2627</v>
      </c>
      <c r="D24" s="238"/>
      <c r="E24" s="238"/>
      <c r="F24" s="239"/>
      <c r="G24" s="240" t="s">
        <v>1586</v>
      </c>
    </row>
    <row r="25" spans="1:7" s="214" customFormat="1" ht="24">
      <c r="A25" s="780" t="s">
        <v>1476</v>
      </c>
      <c r="B25" s="215" t="s">
        <v>1587</v>
      </c>
      <c r="C25" s="1128">
        <f ca="1">ROUND(IF('数据-取费表'!B22&lt;=1,C20*F22*'数据-取费表'!B22/2,C20*(POWER((1+F22),'数据-取费表'!B22/2)-1)),0)</f>
        <v>51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12653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12653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88103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598144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542710</v>
      </c>
      <c r="D34" s="217"/>
      <c r="E34" s="220"/>
      <c r="F34" s="257"/>
      <c r="G34" s="219"/>
    </row>
    <row r="35" spans="1:7" ht="13.5" customHeight="1">
      <c r="A35" s="780" t="s">
        <v>351</v>
      </c>
      <c r="B35" s="215" t="s">
        <v>1527</v>
      </c>
      <c r="C35" s="220">
        <f ca="1">ROUND(C34*F35,0)</f>
        <v>16281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31012</v>
      </c>
      <c r="D37" s="217">
        <f ca="1">D19</f>
        <v>155.06</v>
      </c>
      <c r="E37" s="249">
        <f>'数据-取费表'!B35</f>
        <v>200</v>
      </c>
      <c r="F37" s="259"/>
      <c r="G37" s="261"/>
    </row>
    <row r="38" spans="1:7" ht="13.5" customHeight="1">
      <c r="A38" s="780" t="s">
        <v>354</v>
      </c>
      <c r="B38" s="215" t="s">
        <v>1533</v>
      </c>
      <c r="C38" s="220">
        <f ca="1">ROUND(C34*F38,0)</f>
        <v>8141</v>
      </c>
      <c r="D38" s="220"/>
      <c r="E38" s="220"/>
      <c r="F38" s="259">
        <f>'数据-取费表'!B36</f>
        <v>1.4999999999999999E-2</v>
      </c>
      <c r="G38" s="219" t="s">
        <v>1528</v>
      </c>
    </row>
    <row r="39" spans="1:7" s="214" customFormat="1" ht="13.5" customHeight="1">
      <c r="A39" s="255" t="s">
        <v>1534</v>
      </c>
      <c r="B39" s="210" t="s">
        <v>1535</v>
      </c>
      <c r="C39" s="232">
        <f ca="1">ROUND(C33*F20,0)</f>
        <v>11963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25319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24823</v>
      </c>
      <c r="D42" s="238"/>
      <c r="E42" s="238"/>
      <c r="F42" s="239"/>
      <c r="G42" s="3679" t="s">
        <v>1591</v>
      </c>
    </row>
    <row r="43" spans="1:7" ht="13.5" customHeight="1">
      <c r="A43" s="780" t="s">
        <v>347</v>
      </c>
      <c r="B43" s="215" t="s">
        <v>1545</v>
      </c>
      <c r="C43" s="238">
        <f ca="1">ROUND(IF('数据-取费表'!B22&lt;=1,C39*F22*'数据-取费表'!B20/2,C39*(POWER((1+F22),'数据-取费表'!B20/2)-1)),0)</f>
        <v>496</v>
      </c>
      <c r="D43" s="238"/>
      <c r="E43" s="238"/>
      <c r="F43" s="239"/>
      <c r="G43" s="3680"/>
    </row>
    <row r="44" spans="1:7" ht="13.5" customHeight="1">
      <c r="A44" s="780" t="s">
        <v>348</v>
      </c>
      <c r="B44" s="215" t="s">
        <v>1546</v>
      </c>
      <c r="C44" s="238">
        <f ca="1">ROUND(IF('数据-取费表'!B22&lt;=1,C40*F22*'数据-取费表'!B20/2,C40*(POWER((1+F22),'数据-取费表'!B20/2)-1)),4)</f>
        <v>8.0000000000000004E-4</v>
      </c>
      <c r="D44" s="238"/>
      <c r="E44" s="238"/>
      <c r="F44" s="239"/>
      <c r="G44" s="3681"/>
    </row>
    <row r="45" spans="1:7" s="214" customFormat="1" ht="13.5" customHeight="1">
      <c r="A45" s="255" t="s">
        <v>1547</v>
      </c>
      <c r="B45" s="244" t="s">
        <v>1513</v>
      </c>
      <c r="C45" s="245">
        <f ca="1">C46</f>
        <v>122021</v>
      </c>
      <c r="D45" s="235">
        <f ca="1">C47</f>
        <v>4.0000000000000001E-3</v>
      </c>
      <c r="E45" s="236" t="s">
        <v>1539</v>
      </c>
      <c r="F45" s="246">
        <f ca="1">F27</f>
        <v>0.2</v>
      </c>
      <c r="G45" s="247" t="s">
        <v>1548</v>
      </c>
    </row>
    <row r="46" spans="1:7" s="214" customFormat="1" ht="13.5" customHeight="1">
      <c r="A46" s="780" t="s">
        <v>346</v>
      </c>
      <c r="B46" s="248" t="s">
        <v>1549</v>
      </c>
      <c r="C46" s="249">
        <f ca="1">ROUND((C33+C39)*F27,0)</f>
        <v>122021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821615</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698373</v>
      </c>
      <c r="D51" s="232"/>
      <c r="E51" s="232"/>
      <c r="F51" s="264"/>
      <c r="G51" s="234" t="s">
        <v>1560</v>
      </c>
    </row>
    <row r="52" spans="1:7" s="208" customFormat="1" ht="16.5" thickBot="1">
      <c r="A52" s="265" t="s">
        <v>1561</v>
      </c>
      <c r="B52" s="266"/>
      <c r="C52" s="267">
        <f ca="1">C31+C51</f>
        <v>786476</v>
      </c>
      <c r="D52" s="266"/>
      <c r="E52" s="266"/>
      <c r="F52" s="266"/>
      <c r="G52" s="268"/>
    </row>
    <row r="55" spans="1:7" ht="15">
      <c r="B55" s="270" t="s">
        <v>1562</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-258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155.06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155.06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155.06</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786</v>
      </c>
      <c r="C2" s="1387" t="s">
        <v>805</v>
      </c>
      <c r="D2" s="1387"/>
      <c r="E2" s="1388"/>
      <c r="F2" s="1389"/>
      <c r="G2" s="2706"/>
      <c r="H2" s="2695"/>
      <c r="I2" s="2695"/>
      <c r="J2" s="2695"/>
      <c r="K2" s="2696"/>
      <c r="L2" s="2695"/>
      <c r="M2" s="2695"/>
    </row>
    <row r="3" spans="1:37" ht="18" customHeight="1" thickBot="1">
      <c r="A3" s="1390" t="s">
        <v>806</v>
      </c>
      <c r="B3" s="1391">
        <f ca="1">IF(ISERROR(B2*10000/F43),0,ROUND(B2*10000/F43,0))</f>
        <v>50690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56</v>
      </c>
      <c r="D5" s="1364" t="s">
        <v>693</v>
      </c>
      <c r="E5" s="1071"/>
      <c r="F5" s="1072"/>
      <c r="G5" s="1384"/>
      <c r="H5" s="299">
        <v>1</v>
      </c>
      <c r="I5" s="300" t="s">
        <v>692</v>
      </c>
      <c r="J5" s="1070">
        <f ca="1">J6+J10+J12</f>
        <v>0</v>
      </c>
      <c r="K5" s="1364" t="s">
        <v>693</v>
      </c>
      <c r="L5" s="1071"/>
      <c r="M5" s="1072"/>
    </row>
    <row r="6" spans="1:37" ht="18" customHeight="1">
      <c r="A6" s="1069" t="s">
        <v>398</v>
      </c>
      <c r="B6" s="3684" t="s">
        <v>694</v>
      </c>
      <c r="C6" s="1074">
        <f ca="1">ROUND(F6*F8*F7*(1-F9)/10000,0)</f>
        <v>56</v>
      </c>
      <c r="D6" s="155" t="s">
        <v>2109</v>
      </c>
      <c r="E6" s="302" t="s">
        <v>696</v>
      </c>
      <c r="F6" s="303">
        <f ca="1">INDIRECT("'数据-取费表'!u"&amp;$G$1)</f>
        <v>11</v>
      </c>
      <c r="G6" s="1384"/>
      <c r="H6" s="1069" t="s">
        <v>398</v>
      </c>
      <c r="I6" s="3684" t="s">
        <v>694</v>
      </c>
      <c r="J6" s="301">
        <f ca="1">ROUND(M6*M8*M7*(1-M9)/10000,0)</f>
        <v>0</v>
      </c>
      <c r="K6" s="155" t="s">
        <v>2108</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155.06</v>
      </c>
      <c r="G7" s="1384"/>
      <c r="H7" s="304"/>
      <c r="I7" s="3685"/>
      <c r="J7" s="306"/>
      <c r="K7" s="307"/>
      <c r="L7" s="302" t="s">
        <v>697</v>
      </c>
      <c r="M7" s="303">
        <f ca="1">F7</f>
        <v>155.06</v>
      </c>
    </row>
    <row r="8" spans="1:37" ht="18" customHeight="1">
      <c r="A8" s="304"/>
      <c r="B8" s="3685"/>
      <c r="C8" s="306"/>
      <c r="D8" s="307"/>
      <c r="E8" s="302" t="s">
        <v>698</v>
      </c>
      <c r="F8" s="303">
        <f ca="1">INDIRECT("'数据-取费表'!ai"&amp;$G$1)</f>
        <v>365</v>
      </c>
      <c r="G8" s="1384"/>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69</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54</v>
      </c>
      <c r="D14" s="1345" t="s">
        <v>708</v>
      </c>
      <c r="E14" s="1342"/>
      <c r="F14" s="319"/>
      <c r="G14" s="1384"/>
      <c r="H14" s="982" t="s">
        <v>398</v>
      </c>
      <c r="I14" s="302" t="s">
        <v>709</v>
      </c>
      <c r="J14" s="21">
        <f ca="1">C29</f>
        <v>81</v>
      </c>
      <c r="K14" s="12"/>
      <c r="L14" s="807"/>
      <c r="M14" s="808"/>
    </row>
    <row r="15" spans="1:37" s="1397" customFormat="1" ht="18" customHeight="1" thickBot="1">
      <c r="A15" s="982" t="s">
        <v>399</v>
      </c>
      <c r="B15" s="302" t="s">
        <v>710</v>
      </c>
      <c r="C15" s="21">
        <f ca="1">ROUND(C14*F15,0)</f>
        <v>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1.22</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81</v>
      </c>
      <c r="D29" s="1092"/>
      <c r="E29" s="1090"/>
      <c r="F29" s="1093"/>
      <c r="G29" s="1396"/>
      <c r="H29" s="334" t="s">
        <v>396</v>
      </c>
      <c r="I29" s="335" t="s">
        <v>768</v>
      </c>
      <c r="J29" s="336">
        <f ca="1">ROUND(J26/(1+F40)^F41,0)</f>
        <v>0</v>
      </c>
      <c r="K29" s="337" t="s">
        <v>769</v>
      </c>
      <c r="L29" s="338"/>
      <c r="M29" s="339">
        <f ca="1">INDIRECT("'数据-取费表'!k"&amp;$G$1)</f>
        <v>155.06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9.39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2.99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6.4</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1.22</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ROUND(C13*F37,2)</f>
        <v>0.1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0.84</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44</v>
      </c>
      <c r="D39" s="1095" t="s">
        <v>773</v>
      </c>
      <c r="E39" s="1096"/>
      <c r="F39" s="1097"/>
      <c r="G39" s="1384"/>
      <c r="H39" s="2700"/>
      <c r="I39" s="1398"/>
      <c r="J39" s="1399"/>
      <c r="K39" s="2704"/>
      <c r="L39" s="2700"/>
      <c r="M39" s="2700"/>
    </row>
    <row r="40" spans="1:18" ht="18" customHeight="1">
      <c r="A40" s="299" t="s">
        <v>395</v>
      </c>
      <c r="B40" s="300" t="s">
        <v>774</v>
      </c>
      <c r="C40" s="301">
        <f ca="1">ROUND(C39*(1-((1+F42)/(1+F40))^F41)/(F40-F42),0)</f>
        <v>783</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29.01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50497</v>
      </c>
      <c r="D43" s="337" t="s">
        <v>777</v>
      </c>
      <c r="E43" s="338" t="s">
        <v>778</v>
      </c>
      <c r="F43" s="339">
        <f ca="1">INDIRECT("'数据-取费表'!k"&amp;$G$1)</f>
        <v>155.06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-797</v>
      </c>
      <c r="D46" s="1406" t="str">
        <f>C2</f>
        <v>万元</v>
      </c>
      <c r="E46" s="1400"/>
      <c r="F46" s="1400"/>
      <c r="I46" s="1407" t="s">
        <v>810</v>
      </c>
      <c r="J46" s="1408"/>
      <c r="K46" s="1409"/>
      <c r="L46" s="1410">
        <f ca="1">IF(M47="住宅",0,IF(L48&gt;J51,L60,J60))</f>
        <v>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783</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29.01</v>
      </c>
      <c r="O48" s="1418" t="s">
        <v>404</v>
      </c>
      <c r="P48" s="1419" t="s">
        <v>821</v>
      </c>
      <c r="Q48" s="1420">
        <f ca="1">J60</f>
        <v>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81</v>
      </c>
      <c r="R49" s="1420" t="s">
        <v>818</v>
      </c>
    </row>
    <row r="50" spans="1:18" s="1384" customFormat="1" ht="13.5" thickBot="1">
      <c r="A50" s="976"/>
      <c r="B50" s="979"/>
      <c r="C50" s="1118"/>
      <c r="D50" s="953"/>
      <c r="E50" s="1056" t="s">
        <v>697</v>
      </c>
      <c r="F50" s="1057">
        <f ca="1">F7</f>
        <v>155.06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712</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29.01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29.01</v>
      </c>
      <c r="K53" s="3682" t="s">
        <v>837</v>
      </c>
      <c r="L53" s="3683"/>
      <c r="O53" s="1418" t="s">
        <v>409</v>
      </c>
      <c r="P53" s="1419" t="s">
        <v>838</v>
      </c>
      <c r="Q53" s="1420">
        <f ca="1">Q47+Q48</f>
        <v>786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69</v>
      </c>
      <c r="D56" s="1447"/>
      <c r="E56" s="1448"/>
      <c r="F56" s="1440"/>
      <c r="I56" s="1449" t="s">
        <v>842</v>
      </c>
      <c r="J56" s="1450" t="s">
        <v>3385</v>
      </c>
      <c r="K56" s="1421" t="s">
        <v>843</v>
      </c>
      <c r="L56" s="1424" t="str">
        <f ca="1">IF(L48&lt;J51,"——",L48-J53)</f>
        <v>——</v>
      </c>
      <c r="O56" s="1418" t="s">
        <v>403</v>
      </c>
      <c r="P56" s="1419" t="s">
        <v>817</v>
      </c>
      <c r="Q56" s="1420">
        <f ca="1">C40+J29</f>
        <v>783</v>
      </c>
      <c r="R56" s="1420" t="s">
        <v>818</v>
      </c>
    </row>
    <row r="57" spans="1:18" s="1384" customFormat="1" ht="24.75" thickBot="1">
      <c r="A57" s="1451"/>
      <c r="B57" s="950" t="s">
        <v>767</v>
      </c>
      <c r="C57" s="238">
        <f ca="1">C29</f>
        <v>81</v>
      </c>
      <c r="D57" s="1452"/>
      <c r="E57" s="1453"/>
      <c r="F57" s="1454"/>
      <c r="I57" s="1455" t="s">
        <v>844</v>
      </c>
      <c r="J57" s="1456">
        <f ca="1">IF(OR(M47="住宅",J51&lt;L48,J56="是"),"——",J51-L48)</f>
        <v>21.99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783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1.22</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v>
      </c>
      <c r="D65" s="964" t="s">
        <v>743</v>
      </c>
      <c r="E65" s="950" t="s">
        <v>744</v>
      </c>
      <c r="F65" s="330">
        <f t="shared" ca="1" si="0"/>
        <v>1.5E-3</v>
      </c>
      <c r="I65" s="1462" t="s">
        <v>867</v>
      </c>
      <c r="J65" s="1463">
        <v>40</v>
      </c>
      <c r="K65" s="1463">
        <v>30</v>
      </c>
      <c r="L65" s="1463">
        <v>50</v>
      </c>
      <c r="M65" s="1465">
        <v>0.02</v>
      </c>
      <c r="O65" s="1418" t="s">
        <v>403</v>
      </c>
      <c r="P65" s="1419" t="s">
        <v>868</v>
      </c>
      <c r="Q65" s="1420">
        <f ca="1">C40+J29</f>
        <v>783</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712</v>
      </c>
      <c r="R67" s="1420" t="s">
        <v>870</v>
      </c>
    </row>
    <row r="68" spans="1:18" s="1384" customFormat="1" ht="16.5" thickBot="1">
      <c r="A68" s="947" t="s">
        <v>395</v>
      </c>
      <c r="B68" s="948" t="s">
        <v>774</v>
      </c>
      <c r="C68" s="301">
        <f ca="1">ROUND(C67*(1-((1+F70)/(1+F68))^F69)/(F68-F70),0)</f>
        <v>-14</v>
      </c>
      <c r="D68" s="965" t="s">
        <v>758</v>
      </c>
      <c r="E68" s="950" t="s">
        <v>759</v>
      </c>
      <c r="F68" s="312">
        <f ca="1">F40</f>
        <v>0.06</v>
      </c>
      <c r="O68" s="1428" t="s">
        <v>406</v>
      </c>
      <c r="P68" s="1467" t="s">
        <v>871</v>
      </c>
      <c r="Q68" s="1420">
        <f ca="1">ROUND(Q69-Q70*Q71,0)</f>
        <v>39</v>
      </c>
      <c r="R68" s="1420" t="s">
        <v>414</v>
      </c>
    </row>
    <row r="69" spans="1:18" s="1384" customFormat="1" ht="13.5" thickBot="1">
      <c r="A69" s="951"/>
      <c r="B69" s="952"/>
      <c r="C69" s="306"/>
      <c r="D69" s="970" t="s">
        <v>762</v>
      </c>
      <c r="E69" s="950" t="s">
        <v>763</v>
      </c>
      <c r="F69" s="333">
        <f ca="1">F41</f>
        <v>29.01</v>
      </c>
      <c r="O69" s="1428" t="s">
        <v>411</v>
      </c>
      <c r="P69" s="1467" t="s">
        <v>872</v>
      </c>
      <c r="Q69" s="1420">
        <f ca="1">C39</f>
        <v>44</v>
      </c>
      <c r="R69" s="1420" t="s">
        <v>818</v>
      </c>
    </row>
    <row r="70" spans="1:18" s="1384" customFormat="1" ht="13.5" thickBot="1">
      <c r="A70" s="954"/>
      <c r="B70" s="955"/>
      <c r="C70" s="310"/>
      <c r="D70" s="966"/>
      <c r="E70" s="950" t="s">
        <v>766</v>
      </c>
      <c r="F70" s="1054"/>
      <c r="O70" s="1428" t="s">
        <v>412</v>
      </c>
      <c r="P70" s="1467" t="s">
        <v>873</v>
      </c>
      <c r="Q70" s="1420">
        <f ca="1">C13</f>
        <v>69</v>
      </c>
      <c r="R70" s="1420" t="s">
        <v>818</v>
      </c>
    </row>
    <row r="71" spans="1:18" s="1384" customFormat="1" ht="13.5" thickBot="1">
      <c r="A71" s="971" t="s">
        <v>396</v>
      </c>
      <c r="B71" s="972" t="s">
        <v>776</v>
      </c>
      <c r="C71" s="336">
        <f ca="1">ROUND(C68*10000/F71,0)</f>
        <v>-903</v>
      </c>
      <c r="D71" s="973" t="s">
        <v>777</v>
      </c>
      <c r="E71" s="974" t="s">
        <v>778</v>
      </c>
      <c r="F71" s="339">
        <f ca="1">F43</f>
        <v>155.06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v>
      </c>
      <c r="D75" s="1384"/>
      <c r="E75" s="1384"/>
      <c r="F75" s="1384"/>
      <c r="K75" s="1402"/>
      <c r="L75" s="1384"/>
      <c r="O75" s="1418" t="s">
        <v>409</v>
      </c>
      <c r="P75" s="1419" t="s">
        <v>838</v>
      </c>
      <c r="Q75" s="1420">
        <f ca="1">Q65+Q66</f>
        <v>783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0.88600000000000001</v>
      </c>
    </row>
    <row r="80" spans="1:18">
      <c r="B80" s="340" t="s">
        <v>800</v>
      </c>
      <c r="C80" s="274">
        <f ca="1">ROUND(C75/C39,3)</f>
        <v>0.114</v>
      </c>
    </row>
    <row r="81" spans="2:3">
      <c r="B81" s="270" t="s">
        <v>801</v>
      </c>
      <c r="C81" s="238"/>
    </row>
    <row r="82" spans="2:3">
      <c r="B82" s="273" t="s">
        <v>802</v>
      </c>
      <c r="C82" s="275">
        <f ca="1">1-C83</f>
        <v>0.91200000000000003</v>
      </c>
    </row>
    <row r="83" spans="2:3">
      <c r="B83" s="273" t="s">
        <v>803</v>
      </c>
      <c r="C83" s="274">
        <f ca="1">ROUND(C13/C40,3)</f>
        <v>8.7999999999999995E-2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29.01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824.80409999999995</v>
      </c>
      <c r="C2" s="1387" t="s">
        <v>879</v>
      </c>
      <c r="D2" s="1471">
        <f ca="1">C40+J29+L46</f>
        <v>8248041</v>
      </c>
      <c r="E2" s="1388" t="s">
        <v>880</v>
      </c>
      <c r="F2" s="1389"/>
      <c r="G2" s="2706"/>
      <c r="H2" s="2695"/>
      <c r="I2" s="2695"/>
      <c r="J2" s="2695"/>
      <c r="K2" s="2696"/>
      <c r="L2" s="2695"/>
      <c r="M2" s="2695"/>
    </row>
    <row r="3" spans="1:37" ht="18" customHeight="1" thickBot="1">
      <c r="A3" s="1390" t="s">
        <v>881</v>
      </c>
      <c r="B3" s="1391">
        <f ca="1">IF(ISERROR(D2/F43),0,ROUND(D2/F43,0))</f>
        <v>53193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561009</v>
      </c>
      <c r="D5" s="1364" t="s">
        <v>889</v>
      </c>
      <c r="E5" s="1071"/>
      <c r="F5" s="1072"/>
      <c r="G5" s="1384"/>
      <c r="H5" s="299">
        <v>1</v>
      </c>
      <c r="I5" s="300" t="s">
        <v>888</v>
      </c>
      <c r="J5" s="1070">
        <f ca="1">J6+J10+J12</f>
        <v>0</v>
      </c>
      <c r="K5" s="1364" t="s">
        <v>889</v>
      </c>
      <c r="L5" s="1071"/>
      <c r="M5" s="1072"/>
    </row>
    <row r="6" spans="1:37" ht="18" customHeight="1">
      <c r="A6" s="1069" t="s">
        <v>398</v>
      </c>
      <c r="B6" s="3684" t="s">
        <v>694</v>
      </c>
      <c r="C6" s="1074">
        <f ca="1">ROUND(F6*F8*F7*(1-F9),0)</f>
        <v>560309</v>
      </c>
      <c r="D6" s="155" t="s">
        <v>2106</v>
      </c>
      <c r="E6" s="302" t="s">
        <v>696</v>
      </c>
      <c r="F6" s="303">
        <f ca="1">INDIRECT("'数据-取费表'!u"&amp;$G$1)</f>
        <v>11</v>
      </c>
      <c r="G6" s="1384"/>
      <c r="H6" s="1069" t="s">
        <v>398</v>
      </c>
      <c r="I6" s="3684" t="s">
        <v>694</v>
      </c>
      <c r="J6" s="301">
        <f ca="1">ROUND(M6*M8*M7*(1-M9),0)</f>
        <v>0</v>
      </c>
      <c r="K6" s="1376" t="s">
        <v>2107</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155.06</v>
      </c>
      <c r="G7" s="1384"/>
      <c r="H7" s="304"/>
      <c r="I7" s="3685"/>
      <c r="J7" s="306"/>
      <c r="K7" s="307"/>
      <c r="L7" s="302" t="s">
        <v>697</v>
      </c>
      <c r="M7" s="303">
        <f ca="1">F7</f>
        <v>155.06</v>
      </c>
    </row>
    <row r="8" spans="1:37" ht="18" customHeight="1">
      <c r="A8" s="304"/>
      <c r="B8" s="3685"/>
      <c r="C8" s="306"/>
      <c r="D8" s="307"/>
      <c r="E8" s="302" t="s">
        <v>698</v>
      </c>
      <c r="F8" s="303">
        <f ca="1">INDIRECT("'数据-取费表'!ai"&amp;$G$1)</f>
        <v>365</v>
      </c>
      <c r="G8" s="1384"/>
      <c r="H8" s="304"/>
      <c r="I8" s="3685"/>
      <c r="J8" s="306"/>
      <c r="K8" s="307"/>
      <c r="L8" s="302" t="s">
        <v>698</v>
      </c>
      <c r="M8" s="303">
        <f ca="1">INDIRECT("'数据-取费表'!ai"&amp;$G$1)</f>
        <v>365</v>
      </c>
    </row>
    <row r="9" spans="1:37" ht="18" customHeight="1">
      <c r="A9" s="304"/>
      <c r="B9" s="3686"/>
      <c r="C9" s="306"/>
      <c r="D9" s="307"/>
      <c r="E9" s="302" t="s">
        <v>699</v>
      </c>
      <c r="F9" s="312">
        <f ca="1">INDIRECT("'数据-取费表'!w"&amp;$G$1)</f>
        <v>0.1</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700</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698373</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542710</v>
      </c>
      <c r="D14" s="1345" t="s">
        <v>708</v>
      </c>
      <c r="E14" s="1342"/>
      <c r="F14" s="319"/>
      <c r="G14" s="1384"/>
      <c r="H14" s="982" t="s">
        <v>398</v>
      </c>
      <c r="I14" s="302" t="s">
        <v>709</v>
      </c>
      <c r="J14" s="21">
        <f ca="1">C29</f>
        <v>821615</v>
      </c>
      <c r="K14" s="12"/>
      <c r="L14" s="807"/>
      <c r="M14" s="808"/>
    </row>
    <row r="15" spans="1:37" s="1397" customFormat="1" ht="18" customHeight="1" thickBot="1">
      <c r="A15" s="982" t="s">
        <v>399</v>
      </c>
      <c r="B15" s="302" t="s">
        <v>710</v>
      </c>
      <c r="C15" s="21">
        <f ca="1">ROUND(C14*F15,0)</f>
        <v>16281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12324</v>
      </c>
      <c r="K16" s="1087" t="s">
        <v>715</v>
      </c>
      <c r="L16" s="1088"/>
      <c r="M16" s="1072"/>
    </row>
    <row r="17" spans="1:37" s="1397" customFormat="1" ht="18" customHeight="1">
      <c r="A17" s="982" t="s">
        <v>681</v>
      </c>
      <c r="B17" s="302" t="s">
        <v>716</v>
      </c>
      <c r="C17" s="21">
        <f ca="1">ROUND(F17*(F43+INDIRECT("'数据-取费表'!S"&amp;$G$1)),0)</f>
        <v>31012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8141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598144</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11963</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12324</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25319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-12324</v>
      </c>
      <c r="K25" s="1095" t="s">
        <v>753</v>
      </c>
      <c r="L25" s="1096"/>
      <c r="M25" s="1097"/>
    </row>
    <row r="26" spans="1:37" ht="18" customHeight="1">
      <c r="A26" s="982" t="s">
        <v>397</v>
      </c>
      <c r="B26" s="302" t="s">
        <v>754</v>
      </c>
      <c r="C26" s="21">
        <f ca="1">ROUND((C19+C20)*F26,0)</f>
        <v>122021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821615</v>
      </c>
      <c r="D29" s="1092"/>
      <c r="E29" s="1090"/>
      <c r="F29" s="1093"/>
      <c r="G29" s="1396"/>
      <c r="H29" s="334" t="s">
        <v>396</v>
      </c>
      <c r="I29" s="335" t="s">
        <v>768</v>
      </c>
      <c r="J29" s="336">
        <f ca="1">ROUND(J26/(1+F40)^F41,0)</f>
        <v>0</v>
      </c>
      <c r="K29" s="337" t="s">
        <v>769</v>
      </c>
      <c r="L29" s="338"/>
      <c r="M29" s="339">
        <f ca="1">INDIRECT("'数据-取费表'!k"&amp;$G$1)</f>
        <v>155.06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115705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93918</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29883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64035</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12324</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1048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8415</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445304</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7919395</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29.01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51073</v>
      </c>
      <c r="D43" s="337" t="s">
        <v>777</v>
      </c>
      <c r="E43" s="338" t="s">
        <v>778</v>
      </c>
      <c r="F43" s="339">
        <f ca="1">INDIRECT("'数据-取费表'!k"&amp;$G$1)</f>
        <v>155.06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-810.11540000000002</v>
      </c>
      <c r="D45" s="3432" t="s">
        <v>3360</v>
      </c>
      <c r="E45" s="1400"/>
      <c r="F45" s="1400"/>
      <c r="O45" s="1403" t="s">
        <v>808</v>
      </c>
      <c r="P45" s="1461"/>
      <c r="Q45" s="1461"/>
      <c r="R45" s="1461"/>
    </row>
    <row r="46" spans="1:18" s="1384" customFormat="1" ht="13.5" thickBot="1">
      <c r="A46" s="1404" t="s">
        <v>809</v>
      </c>
      <c r="C46" s="1405">
        <f ca="1">ROUND(C45,0)</f>
        <v>-810</v>
      </c>
      <c r="D46" s="1406" t="str">
        <f>C2</f>
        <v>万元</v>
      </c>
      <c r="I46" s="1407" t="s">
        <v>810</v>
      </c>
      <c r="J46" s="1408"/>
      <c r="K46" s="1409"/>
      <c r="L46" s="1410">
        <f ca="1">IF(M47="住宅",0,IF(L48&gt;J51,L60,J60))</f>
        <v>328646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7919395</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29.01</v>
      </c>
      <c r="O48" s="1418" t="s">
        <v>404</v>
      </c>
      <c r="P48" s="1419" t="s">
        <v>821</v>
      </c>
      <c r="Q48" s="1420">
        <f ca="1">J60</f>
        <v>328646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2014</v>
      </c>
      <c r="K49" s="1423" t="s">
        <v>824</v>
      </c>
      <c r="L49" s="1427"/>
      <c r="O49" s="1428" t="s">
        <v>405</v>
      </c>
      <c r="P49" s="1419" t="s">
        <v>825</v>
      </c>
      <c r="Q49" s="1420">
        <f ca="1">C29</f>
        <v>821615</v>
      </c>
      <c r="R49" s="1420" t="s">
        <v>818</v>
      </c>
    </row>
    <row r="50" spans="1:18" s="1384" customFormat="1" ht="13.5" thickBot="1">
      <c r="A50" s="976"/>
      <c r="B50" s="979"/>
      <c r="C50" s="980"/>
      <c r="D50" s="953"/>
      <c r="E50" s="1056" t="s">
        <v>697</v>
      </c>
      <c r="F50" s="1057">
        <f ca="1">F7</f>
        <v>155.06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7205861</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29.01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29.01</v>
      </c>
      <c r="K53" s="3682" t="s">
        <v>837</v>
      </c>
      <c r="L53" s="3683"/>
      <c r="O53" s="1418" t="s">
        <v>409</v>
      </c>
      <c r="P53" s="1419" t="s">
        <v>838</v>
      </c>
      <c r="Q53" s="1420">
        <f ca="1">Q47+Q48</f>
        <v>8248041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698373</v>
      </c>
      <c r="D56" s="1447"/>
      <c r="E56" s="1448"/>
      <c r="F56" s="1440"/>
      <c r="I56" s="1449" t="s">
        <v>842</v>
      </c>
      <c r="J56" s="1450" t="s">
        <v>3385</v>
      </c>
      <c r="K56" s="1421" t="s">
        <v>843</v>
      </c>
      <c r="L56" s="1424" t="str">
        <f ca="1">IF(L48&lt;J51,"——",L48-J51)</f>
        <v>——</v>
      </c>
      <c r="O56" s="1418" t="s">
        <v>403</v>
      </c>
      <c r="P56" s="1419" t="s">
        <v>817</v>
      </c>
      <c r="Q56" s="1420">
        <f ca="1">C40+J29</f>
        <v>7919395</v>
      </c>
      <c r="R56" s="1420" t="s">
        <v>818</v>
      </c>
    </row>
    <row r="57" spans="1:18" s="1384" customFormat="1" ht="24.75" thickBot="1">
      <c r="A57" s="1451"/>
      <c r="B57" s="950" t="s">
        <v>767</v>
      </c>
      <c r="C57" s="238">
        <f ca="1">C29</f>
        <v>821615</v>
      </c>
      <c r="D57" s="1452"/>
      <c r="E57" s="1453"/>
      <c r="F57" s="1454"/>
      <c r="I57" s="1455" t="s">
        <v>844</v>
      </c>
      <c r="J57" s="1456">
        <f ca="1">IF(OR(M47="住宅",J51&lt;L48,J56="是"),"——",J51-L48)</f>
        <v>21.99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13372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328646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328646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7919395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12324</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1048</v>
      </c>
      <c r="D65" s="964" t="s">
        <v>743</v>
      </c>
      <c r="E65" s="950" t="s">
        <v>744</v>
      </c>
      <c r="F65" s="330">
        <f t="shared" ca="1" si="0"/>
        <v>1.5E-3</v>
      </c>
      <c r="I65" s="1462" t="s">
        <v>867</v>
      </c>
      <c r="J65" s="1463">
        <v>40</v>
      </c>
      <c r="K65" s="1463">
        <v>30</v>
      </c>
      <c r="L65" s="1463">
        <v>50</v>
      </c>
      <c r="M65" s="1465">
        <v>0.02</v>
      </c>
      <c r="O65" s="1418" t="s">
        <v>403</v>
      </c>
      <c r="P65" s="1419" t="s">
        <v>868</v>
      </c>
      <c r="Q65" s="1420">
        <f ca="1">C40+J29</f>
        <v>7919395</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-13372</v>
      </c>
      <c r="D67" s="963" t="s">
        <v>753</v>
      </c>
      <c r="E67" s="968"/>
      <c r="F67" s="969"/>
      <c r="O67" s="1428" t="s">
        <v>405</v>
      </c>
      <c r="P67" s="1419" t="s">
        <v>850</v>
      </c>
      <c r="Q67" s="1466">
        <f ca="1">L51</f>
        <v>7205861</v>
      </c>
      <c r="R67" s="1420" t="s">
        <v>870</v>
      </c>
    </row>
    <row r="68" spans="1:18" s="1384" customFormat="1" ht="16.5" thickBot="1">
      <c r="A68" s="947" t="s">
        <v>395</v>
      </c>
      <c r="B68" s="948" t="s">
        <v>774</v>
      </c>
      <c r="C68" s="301">
        <f ca="1">ROUND(C67*(1-((1+F70)/(1+F68))^F69)/(F68-F70),0)</f>
        <v>-181759</v>
      </c>
      <c r="D68" s="965" t="s">
        <v>758</v>
      </c>
      <c r="E68" s="950" t="s">
        <v>759</v>
      </c>
      <c r="F68" s="312">
        <f ca="1">F40</f>
        <v>0.06</v>
      </c>
      <c r="O68" s="1428" t="s">
        <v>406</v>
      </c>
      <c r="P68" s="1467" t="s">
        <v>871</v>
      </c>
      <c r="Q68" s="1420">
        <f ca="1">ROUND(Q69-Q70*Q71,0)</f>
        <v>392926</v>
      </c>
      <c r="R68" s="1420" t="s">
        <v>414</v>
      </c>
    </row>
    <row r="69" spans="1:18" s="1384" customFormat="1" ht="13.5" thickBot="1">
      <c r="A69" s="951"/>
      <c r="B69" s="952"/>
      <c r="C69" s="306"/>
      <c r="D69" s="970" t="s">
        <v>762</v>
      </c>
      <c r="E69" s="950" t="s">
        <v>763</v>
      </c>
      <c r="F69" s="333">
        <f ca="1">F41</f>
        <v>29.01</v>
      </c>
      <c r="O69" s="1428" t="s">
        <v>411</v>
      </c>
      <c r="P69" s="1467" t="s">
        <v>872</v>
      </c>
      <c r="Q69" s="1420">
        <f ca="1">C39</f>
        <v>445304</v>
      </c>
      <c r="R69" s="1420" t="s">
        <v>818</v>
      </c>
    </row>
    <row r="70" spans="1:18" s="1384" customFormat="1" ht="13.5" thickBot="1">
      <c r="A70" s="954"/>
      <c r="B70" s="955"/>
      <c r="C70" s="310"/>
      <c r="D70" s="966"/>
      <c r="E70" s="950" t="s">
        <v>766</v>
      </c>
      <c r="F70" s="1054"/>
      <c r="O70" s="1428" t="s">
        <v>412</v>
      </c>
      <c r="P70" s="1467" t="s">
        <v>873</v>
      </c>
      <c r="Q70" s="1420">
        <f ca="1">C13</f>
        <v>698373</v>
      </c>
      <c r="R70" s="1420" t="s">
        <v>818</v>
      </c>
    </row>
    <row r="71" spans="1:18" s="1384" customFormat="1" ht="13.5" thickBot="1">
      <c r="A71" s="971" t="s">
        <v>396</v>
      </c>
      <c r="B71" s="972" t="s">
        <v>776</v>
      </c>
      <c r="C71" s="336">
        <f ca="1">ROUND(C68/F71,0)</f>
        <v>-1172</v>
      </c>
      <c r="D71" s="973" t="s">
        <v>777</v>
      </c>
      <c r="E71" s="974" t="s">
        <v>778</v>
      </c>
      <c r="F71" s="339">
        <f ca="1">F43</f>
        <v>155.06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52378</v>
      </c>
      <c r="D75" s="1384"/>
      <c r="E75" s="1384"/>
      <c r="F75" s="1384"/>
      <c r="K75" s="1402"/>
      <c r="L75" s="1384"/>
      <c r="O75" s="1418" t="s">
        <v>409</v>
      </c>
      <c r="P75" s="1419" t="s">
        <v>838</v>
      </c>
      <c r="Q75" s="1420">
        <f ca="1">Q65+Q66</f>
        <v>7919395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0.88200000000000001</v>
      </c>
    </row>
    <row r="80" spans="1:18">
      <c r="B80" s="340" t="s">
        <v>800</v>
      </c>
      <c r="C80" s="274">
        <f ca="1">ROUND(C75/C39,3)</f>
        <v>0.11799999999999999</v>
      </c>
    </row>
    <row r="81" spans="2:3">
      <c r="B81" s="270" t="s">
        <v>801</v>
      </c>
      <c r="C81" s="238"/>
    </row>
    <row r="82" spans="2:3">
      <c r="B82" s="273" t="s">
        <v>802</v>
      </c>
      <c r="C82" s="275">
        <f ca="1">1-C83</f>
        <v>0.91200000000000003</v>
      </c>
    </row>
    <row r="83" spans="2:3">
      <c r="B83" s="273" t="s">
        <v>803</v>
      </c>
      <c r="C83" s="274">
        <f ca="1">ROUND(C13/C40,3)</f>
        <v>8.7999999999999995E-2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93" t="s">
        <v>2320</v>
      </c>
      <c r="K2" s="369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5" t="s">
        <v>2330</v>
      </c>
      <c r="K3" s="369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5" t="s">
        <v>2332</v>
      </c>
      <c r="K4" s="369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1" t="s">
        <v>2336</v>
      </c>
      <c r="B6" s="3702"/>
      <c r="C6" s="3703"/>
      <c r="D6" s="2870"/>
      <c r="E6" s="2871"/>
      <c r="F6" s="2872"/>
      <c r="G6" s="2873"/>
      <c r="H6" s="2848"/>
      <c r="I6" s="2849"/>
      <c r="J6" s="3687">
        <v>1</v>
      </c>
      <c r="K6" s="368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87"/>
      <c r="K7" s="368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4" t="s">
        <v>2350</v>
      </c>
      <c r="C8" s="3705"/>
      <c r="D8" s="2889" t="s">
        <v>2351</v>
      </c>
      <c r="E8" s="2890" t="s">
        <v>2352</v>
      </c>
      <c r="F8" s="2891" t="s">
        <v>2353</v>
      </c>
      <c r="G8" s="2892"/>
      <c r="H8" s="2848"/>
      <c r="I8" s="2849"/>
      <c r="J8" s="3687"/>
      <c r="K8" s="368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4" t="s">
        <v>2356</v>
      </c>
      <c r="C9" s="3705"/>
      <c r="D9" s="2889">
        <f>ROUND(D6*E9,0)</f>
        <v>0</v>
      </c>
      <c r="E9" s="2893"/>
      <c r="F9" s="2894" t="s">
        <v>2357</v>
      </c>
      <c r="G9" s="2873"/>
      <c r="H9" s="2848"/>
      <c r="I9" s="2849"/>
      <c r="J9" s="3687"/>
      <c r="K9" s="3689"/>
      <c r="L9" s="2883" t="s">
        <v>2358</v>
      </c>
      <c r="M9" s="2884"/>
      <c r="N9" s="2860"/>
      <c r="O9" s="2885"/>
      <c r="P9" s="2885"/>
      <c r="Q9" s="2886">
        <v>365</v>
      </c>
      <c r="R9" s="2887">
        <f t="shared" si="0"/>
        <v>0</v>
      </c>
      <c r="S9" s="2841"/>
      <c r="T9" s="2841"/>
      <c r="U9" s="2841"/>
      <c r="V9" s="2849"/>
    </row>
    <row r="10" spans="1:22" s="2853" customFormat="1" ht="13.15" customHeight="1">
      <c r="A10" s="2888">
        <v>2</v>
      </c>
      <c r="B10" s="3704" t="s">
        <v>2359</v>
      </c>
      <c r="C10" s="3705"/>
      <c r="D10" s="2889">
        <f>ROUND(D6*E10,0)</f>
        <v>0</v>
      </c>
      <c r="E10" s="2893"/>
      <c r="F10" s="2894" t="s">
        <v>2360</v>
      </c>
      <c r="G10" s="2873"/>
      <c r="H10" s="2848"/>
      <c r="I10" s="2849"/>
      <c r="J10" s="3687"/>
      <c r="K10" s="3689"/>
      <c r="L10" s="2883" t="s">
        <v>2361</v>
      </c>
      <c r="M10" s="2884"/>
      <c r="N10" s="2860"/>
      <c r="O10" s="2885"/>
      <c r="P10" s="2885"/>
      <c r="Q10" s="2886">
        <v>365</v>
      </c>
      <c r="R10" s="2887">
        <f t="shared" si="0"/>
        <v>0</v>
      </c>
      <c r="S10" s="2841"/>
      <c r="T10" s="2841"/>
      <c r="U10" s="2841"/>
      <c r="V10" s="2849"/>
    </row>
    <row r="11" spans="1:22" s="2853" customFormat="1" ht="13.15" customHeight="1">
      <c r="A11" s="2888">
        <v>3</v>
      </c>
      <c r="B11" s="3704" t="s">
        <v>2362</v>
      </c>
      <c r="C11" s="3705"/>
      <c r="D11" s="2889">
        <f>D12+D14+D15+D16</f>
        <v>0</v>
      </c>
      <c r="E11" s="2895" t="e">
        <f>D11/D6</f>
        <v>#DIV/0!</v>
      </c>
      <c r="F11" s="2891"/>
      <c r="G11" s="2892"/>
      <c r="H11" s="2848"/>
      <c r="I11" s="2849"/>
      <c r="J11" s="3687"/>
      <c r="K11" s="368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97" t="s">
        <v>2365</v>
      </c>
      <c r="C12" s="3698"/>
      <c r="D12" s="2897">
        <f>ROUND(D13*1.2%*(1-30%),0)</f>
        <v>0</v>
      </c>
      <c r="E12" s="2898">
        <v>1.2E-2</v>
      </c>
      <c r="F12" s="2891" t="s">
        <v>2366</v>
      </c>
      <c r="G12" s="2892"/>
      <c r="H12" s="2848"/>
      <c r="I12" s="2849"/>
      <c r="J12" s="3687"/>
      <c r="K12" s="368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87"/>
      <c r="K13" s="368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97" t="s">
        <v>2371</v>
      </c>
      <c r="C14" s="3698"/>
      <c r="D14" s="2897">
        <f>ROUND(E14*B5/10000,0)</f>
        <v>0</v>
      </c>
      <c r="E14" s="2886"/>
      <c r="F14" s="2891" t="s">
        <v>2372</v>
      </c>
      <c r="G14" s="2892"/>
      <c r="H14" s="2848"/>
      <c r="I14" s="2849"/>
      <c r="J14" s="3687"/>
      <c r="K14" s="369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97" t="s">
        <v>2375</v>
      </c>
      <c r="C15" s="3698"/>
      <c r="D15" s="2897">
        <f>ROUND(D6*E15,0)</f>
        <v>0</v>
      </c>
      <c r="E15" s="2898">
        <v>5.5E-2</v>
      </c>
      <c r="F15" s="2891" t="s">
        <v>2376</v>
      </c>
      <c r="G15" s="2873"/>
      <c r="H15" s="2848"/>
      <c r="I15" s="2849"/>
      <c r="J15" s="3687">
        <v>2</v>
      </c>
      <c r="K15" s="368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97" t="s">
        <v>2384</v>
      </c>
      <c r="C16" s="3698"/>
      <c r="D16" s="2908">
        <f>D6*E16</f>
        <v>0</v>
      </c>
      <c r="E16" s="2909"/>
      <c r="F16" s="2894" t="s">
        <v>2385</v>
      </c>
      <c r="G16" s="2873"/>
      <c r="H16" s="2848"/>
      <c r="I16" s="2849"/>
      <c r="J16" s="3687"/>
      <c r="K16" s="368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99" t="s">
        <v>2387</v>
      </c>
      <c r="C17" s="3700"/>
      <c r="D17" s="2911">
        <f>ROUND(D6*E17,0)</f>
        <v>0</v>
      </c>
      <c r="E17" s="2912"/>
      <c r="F17" s="2913" t="s">
        <v>2388</v>
      </c>
      <c r="G17" s="2873"/>
      <c r="H17" s="2848"/>
      <c r="I17" s="2849"/>
      <c r="J17" s="3687"/>
      <c r="K17" s="368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87"/>
      <c r="K18" s="368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87"/>
      <c r="K19" s="369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7">
        <v>3</v>
      </c>
      <c r="K20" s="368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87"/>
      <c r="K21" s="368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87"/>
      <c r="K22" s="368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87"/>
      <c r="K23" s="368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87"/>
      <c r="K24" s="369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9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3" t="s">
        <v>2320</v>
      </c>
      <c r="K32" s="369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5" t="s">
        <v>2330</v>
      </c>
      <c r="K33" s="369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5" t="s">
        <v>2332</v>
      </c>
      <c r="K34" s="369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87">
        <v>1</v>
      </c>
      <c r="K36" s="368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87"/>
      <c r="K37" s="368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7"/>
      <c r="K38" s="368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87"/>
      <c r="K39" s="368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87"/>
      <c r="K40" s="369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824.80409999999995</v>
      </c>
      <c r="C2" s="1872" t="s">
        <v>1651</v>
      </c>
      <c r="D2" s="1873" t="s">
        <v>1652</v>
      </c>
      <c r="E2" s="2607">
        <f>SUM(E6:E13)</f>
        <v>155.06</v>
      </c>
      <c r="F2" s="2707"/>
      <c r="G2" s="1489"/>
      <c r="H2" s="1489"/>
      <c r="I2" s="1489"/>
      <c r="J2" s="1489"/>
      <c r="K2" s="1489"/>
      <c r="L2" s="1489"/>
      <c r="M2" s="1489"/>
      <c r="N2" s="1489"/>
      <c r="O2" s="1489"/>
      <c r="P2" s="1489"/>
      <c r="Q2" s="1489"/>
      <c r="R2" s="1489"/>
      <c r="S2" s="1489"/>
    </row>
    <row r="3" spans="1:22" ht="15.75">
      <c r="A3" s="1870" t="s">
        <v>686</v>
      </c>
      <c r="B3" s="2601">
        <f ca="1">ROUND(B2*10000/E2,0)</f>
        <v>53193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6" t="s">
        <v>1654</v>
      </c>
      <c r="C5" s="370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824.80409999999995</v>
      </c>
      <c r="C6" s="1872" t="s">
        <v>1651</v>
      </c>
      <c r="D6" s="2709"/>
      <c r="E6" s="2606">
        <f>IF(OR(A6=0,F6="否"),0,'数据-取费表'!K6+'数据-取费表'!S6)</f>
        <v>155.06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155.06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52" t="s">
        <v>1667</v>
      </c>
      <c r="D4" s="3653"/>
      <c r="E4" s="3654" t="s">
        <v>1668</v>
      </c>
      <c r="F4" s="3655"/>
      <c r="G4" s="3652" t="s">
        <v>1669</v>
      </c>
      <c r="H4" s="3653"/>
      <c r="I4" s="3652" t="s">
        <v>1670</v>
      </c>
      <c r="J4" s="3653"/>
      <c r="K4" s="1889" t="s">
        <v>1671</v>
      </c>
      <c r="L4" s="2715"/>
      <c r="M4" s="2716"/>
      <c r="N4" s="2716"/>
      <c r="O4" s="2716"/>
      <c r="P4" s="3656" t="s">
        <v>1672</v>
      </c>
      <c r="Q4" s="3657"/>
      <c r="R4" s="3662" t="s">
        <v>1668</v>
      </c>
      <c r="S4" s="3663"/>
      <c r="T4" s="3662" t="s">
        <v>1669</v>
      </c>
      <c r="U4" s="3663"/>
      <c r="V4" s="3647" t="s">
        <v>1670</v>
      </c>
      <c r="W4" s="3647"/>
      <c r="X4" s="1355"/>
      <c r="Y4" s="3662" t="s">
        <v>1672</v>
      </c>
      <c r="Z4" s="3663"/>
      <c r="AA4" s="3649" t="s">
        <v>1668</v>
      </c>
      <c r="AB4" s="3649" t="s">
        <v>1669</v>
      </c>
      <c r="AC4" s="3649" t="s">
        <v>1670</v>
      </c>
    </row>
    <row r="5" spans="1:29" ht="15">
      <c r="A5" s="358"/>
      <c r="B5" s="359"/>
      <c r="C5" s="3670" t="s">
        <v>1673</v>
      </c>
      <c r="D5" s="3671"/>
      <c r="E5" s="3677" t="s">
        <v>1674</v>
      </c>
      <c r="F5" s="3678"/>
      <c r="G5" s="3670" t="s">
        <v>1675</v>
      </c>
      <c r="H5" s="3671"/>
      <c r="I5" s="3670" t="s">
        <v>1676</v>
      </c>
      <c r="J5" s="3671"/>
      <c r="K5" s="1890"/>
      <c r="L5" s="2715"/>
      <c r="M5" s="2716"/>
      <c r="N5" s="2716"/>
      <c r="O5" s="2716"/>
      <c r="P5" s="3658"/>
      <c r="Q5" s="3659"/>
      <c r="R5" s="3664"/>
      <c r="S5" s="3665"/>
      <c r="T5" s="3664"/>
      <c r="U5" s="3665"/>
      <c r="V5" s="3647"/>
      <c r="W5" s="3647"/>
      <c r="X5" s="1355"/>
      <c r="Y5" s="3664"/>
      <c r="Z5" s="3665"/>
      <c r="AA5" s="3650"/>
      <c r="AB5" s="3650"/>
      <c r="AC5" s="3650"/>
    </row>
    <row r="6" spans="1:29" ht="15.75" thickBot="1">
      <c r="A6" s="360"/>
      <c r="B6" s="361"/>
      <c r="C6" s="3668" t="s">
        <v>1677</v>
      </c>
      <c r="D6" s="3669"/>
      <c r="E6" s="3675" t="s">
        <v>1677</v>
      </c>
      <c r="F6" s="3676"/>
      <c r="G6" s="3668" t="s">
        <v>1677</v>
      </c>
      <c r="H6" s="3669"/>
      <c r="I6" s="3668" t="s">
        <v>1677</v>
      </c>
      <c r="J6" s="3669"/>
      <c r="K6" s="1890" t="s">
        <v>1678</v>
      </c>
      <c r="L6" s="2715"/>
      <c r="M6" s="2716"/>
      <c r="N6" s="2716"/>
      <c r="O6" s="2716"/>
      <c r="P6" s="3660"/>
      <c r="Q6" s="3661"/>
      <c r="R6" s="3664"/>
      <c r="S6" s="3665"/>
      <c r="T6" s="3666"/>
      <c r="U6" s="3667"/>
      <c r="V6" s="3647"/>
      <c r="W6" s="3647"/>
      <c r="X6" s="1355"/>
      <c r="Y6" s="3666"/>
      <c r="Z6" s="3667"/>
      <c r="AA6" s="3651"/>
      <c r="AB6" s="3651"/>
      <c r="AC6" s="3651"/>
    </row>
    <row r="7" spans="1:29" s="108" customFormat="1" ht="15.75" thickBot="1">
      <c r="A7" s="362" t="s">
        <v>1679</v>
      </c>
      <c r="B7" s="363"/>
      <c r="C7" s="364">
        <f>'数据-取费表'!B2</f>
        <v>45029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2" t="s">
        <v>1680</v>
      </c>
      <c r="Q7" s="3674"/>
      <c r="R7" s="701" t="s">
        <v>20</v>
      </c>
      <c r="S7" s="702">
        <f t="shared" ref="S7:S15" si="0">F7</f>
        <v>0</v>
      </c>
      <c r="T7" s="701" t="s">
        <v>20</v>
      </c>
      <c r="U7" s="702">
        <f t="shared" ref="U7:U15" si="1">H7</f>
        <v>0</v>
      </c>
      <c r="V7" s="701" t="s">
        <v>20</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2" t="s">
        <v>1683</v>
      </c>
      <c r="Q8" s="3673"/>
      <c r="R8" s="701" t="s">
        <v>20</v>
      </c>
      <c r="S8" s="702">
        <f t="shared" si="0"/>
        <v>100</v>
      </c>
      <c r="T8" s="701" t="s">
        <v>20</v>
      </c>
      <c r="U8" s="702">
        <f t="shared" si="1"/>
        <v>100</v>
      </c>
      <c r="V8" s="701" t="s">
        <v>20</v>
      </c>
      <c r="W8" s="702">
        <f t="shared" si="2"/>
        <v>100</v>
      </c>
      <c r="X8" s="703"/>
      <c r="Y8" s="3672" t="s">
        <v>1683</v>
      </c>
      <c r="Z8" s="367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8"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8"/>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8"/>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8"/>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8"/>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38" t="s">
        <v>1691</v>
      </c>
      <c r="Q15" s="1352" t="str">
        <f t="shared" si="6"/>
        <v>居住社区成熟度</v>
      </c>
      <c r="R15" s="705" t="s">
        <v>18</v>
      </c>
      <c r="S15" s="706">
        <f t="shared" si="0"/>
        <v>100</v>
      </c>
      <c r="T15" s="705" t="s">
        <v>18</v>
      </c>
      <c r="U15" s="706">
        <f t="shared" si="1"/>
        <v>100</v>
      </c>
      <c r="V15" s="705" t="s">
        <v>18</v>
      </c>
      <c r="W15" s="706">
        <f t="shared" si="2"/>
        <v>100</v>
      </c>
      <c r="X15" s="1355"/>
      <c r="Y15" s="364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39"/>
      <c r="Q16" s="1352"/>
      <c r="R16" s="705"/>
      <c r="S16" s="706"/>
      <c r="T16" s="705"/>
      <c r="U16" s="706"/>
      <c r="V16" s="705"/>
      <c r="W16" s="706"/>
      <c r="X16" s="1355"/>
      <c r="Y16" s="364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39"/>
      <c r="Q17" s="1352" t="str">
        <f>B17</f>
        <v>交通便捷度</v>
      </c>
      <c r="R17" s="705" t="s">
        <v>18</v>
      </c>
      <c r="S17" s="706">
        <f>F17</f>
        <v>100</v>
      </c>
      <c r="T17" s="705" t="s">
        <v>18</v>
      </c>
      <c r="U17" s="706">
        <f>H17</f>
        <v>100</v>
      </c>
      <c r="V17" s="705" t="s">
        <v>18</v>
      </c>
      <c r="W17" s="706">
        <f>J17</f>
        <v>100</v>
      </c>
      <c r="X17" s="1355"/>
      <c r="Y17" s="364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39"/>
      <c r="Q18" s="1352"/>
      <c r="R18" s="705"/>
      <c r="S18" s="706"/>
      <c r="T18" s="705"/>
      <c r="U18" s="706"/>
      <c r="V18" s="705"/>
      <c r="W18" s="706"/>
      <c r="X18" s="1355"/>
      <c r="Y18" s="364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39"/>
      <c r="Q19" s="1352" t="str">
        <f>B19</f>
        <v>公共配套设施</v>
      </c>
      <c r="R19" s="705" t="s">
        <v>18</v>
      </c>
      <c r="S19" s="706">
        <f>F19</f>
        <v>100</v>
      </c>
      <c r="T19" s="705" t="s">
        <v>18</v>
      </c>
      <c r="U19" s="706">
        <f>H19</f>
        <v>100</v>
      </c>
      <c r="V19" s="705" t="s">
        <v>18</v>
      </c>
      <c r="W19" s="706">
        <f>J19</f>
        <v>100</v>
      </c>
      <c r="X19" s="1355"/>
      <c r="Y19" s="364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39"/>
      <c r="Q20" s="1352"/>
      <c r="R20" s="705"/>
      <c r="S20" s="706"/>
      <c r="T20" s="705"/>
      <c r="U20" s="706"/>
      <c r="V20" s="705"/>
      <c r="W20" s="706"/>
      <c r="X20" s="1355"/>
      <c r="Y20" s="364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39"/>
      <c r="Q21" s="1352" t="str">
        <f>B21</f>
        <v>基础设施水平</v>
      </c>
      <c r="R21" s="705" t="s">
        <v>14</v>
      </c>
      <c r="S21" s="706">
        <f>F21</f>
        <v>100</v>
      </c>
      <c r="T21" s="705" t="s">
        <v>14</v>
      </c>
      <c r="U21" s="706">
        <f>H21</f>
        <v>100</v>
      </c>
      <c r="V21" s="705" t="s">
        <v>14</v>
      </c>
      <c r="W21" s="706">
        <f>J21</f>
        <v>100</v>
      </c>
      <c r="X21" s="1355"/>
      <c r="Y21" s="36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39"/>
      <c r="Q22" s="1352"/>
      <c r="R22" s="705"/>
      <c r="S22" s="706"/>
      <c r="T22" s="705"/>
      <c r="U22" s="706"/>
      <c r="V22" s="705"/>
      <c r="W22" s="706"/>
      <c r="X22" s="1355"/>
      <c r="Y22" s="364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39"/>
      <c r="Q23" s="1352" t="str">
        <f>B23</f>
        <v>自然及人文环境</v>
      </c>
      <c r="R23" s="705" t="s">
        <v>18</v>
      </c>
      <c r="S23" s="706">
        <f>F23</f>
        <v>100</v>
      </c>
      <c r="T23" s="705" t="s">
        <v>18</v>
      </c>
      <c r="U23" s="706">
        <f>H23</f>
        <v>100</v>
      </c>
      <c r="V23" s="705" t="s">
        <v>18</v>
      </c>
      <c r="W23" s="706">
        <f>J23</f>
        <v>100</v>
      </c>
      <c r="X23" s="1355"/>
      <c r="Y23" s="364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39"/>
      <c r="Q24" s="1352"/>
      <c r="R24" s="705"/>
      <c r="S24" s="706"/>
      <c r="T24" s="705"/>
      <c r="U24" s="706"/>
      <c r="V24" s="705"/>
      <c r="W24" s="706"/>
      <c r="X24" s="1355"/>
      <c r="Y24" s="364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39"/>
      <c r="Q26" s="1352" t="str">
        <f t="shared" si="11"/>
        <v>朝向</v>
      </c>
      <c r="R26" s="705" t="s">
        <v>18</v>
      </c>
      <c r="S26" s="706">
        <f t="shared" si="12"/>
        <v>100</v>
      </c>
      <c r="T26" s="705" t="s">
        <v>18</v>
      </c>
      <c r="U26" s="706">
        <f t="shared" si="13"/>
        <v>100</v>
      </c>
      <c r="V26" s="705" t="s">
        <v>18</v>
      </c>
      <c r="W26" s="706">
        <f t="shared" si="14"/>
        <v>100</v>
      </c>
      <c r="X26" s="1355"/>
      <c r="Y26" s="364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39"/>
      <c r="Q27" s="1343">
        <f t="shared" si="11"/>
        <v>111</v>
      </c>
      <c r="R27" s="701" t="s">
        <v>18</v>
      </c>
      <c r="S27" s="702">
        <f t="shared" si="12"/>
        <v>100</v>
      </c>
      <c r="T27" s="701" t="s">
        <v>18</v>
      </c>
      <c r="U27" s="702">
        <f t="shared" si="13"/>
        <v>100</v>
      </c>
      <c r="V27" s="701" t="s">
        <v>18</v>
      </c>
      <c r="W27" s="702">
        <f t="shared" si="14"/>
        <v>100</v>
      </c>
      <c r="X27" s="703"/>
      <c r="Y27" s="364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39"/>
      <c r="Q28" s="1352">
        <f t="shared" si="11"/>
        <v>111</v>
      </c>
      <c r="R28" s="705" t="s">
        <v>18</v>
      </c>
      <c r="S28" s="706">
        <f t="shared" si="12"/>
        <v>100</v>
      </c>
      <c r="T28" s="705" t="s">
        <v>18</v>
      </c>
      <c r="U28" s="706">
        <f t="shared" si="13"/>
        <v>100</v>
      </c>
      <c r="V28" s="705" t="s">
        <v>18</v>
      </c>
      <c r="W28" s="706">
        <f t="shared" si="14"/>
        <v>100</v>
      </c>
      <c r="X28" s="1355"/>
      <c r="Y28" s="364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39"/>
      <c r="Q29" s="1352">
        <f t="shared" si="11"/>
        <v>111</v>
      </c>
      <c r="R29" s="705" t="s">
        <v>18</v>
      </c>
      <c r="S29" s="706">
        <f t="shared" si="12"/>
        <v>100</v>
      </c>
      <c r="T29" s="705" t="s">
        <v>18</v>
      </c>
      <c r="U29" s="706">
        <f t="shared" si="13"/>
        <v>100</v>
      </c>
      <c r="V29" s="705" t="s">
        <v>18</v>
      </c>
      <c r="W29" s="706">
        <f t="shared" si="14"/>
        <v>100</v>
      </c>
      <c r="X29" s="1355"/>
      <c r="Y29" s="364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39"/>
      <c r="Q30" s="1352">
        <f t="shared" si="11"/>
        <v>111</v>
      </c>
      <c r="R30" s="705" t="s">
        <v>18</v>
      </c>
      <c r="S30" s="706">
        <f t="shared" si="12"/>
        <v>100</v>
      </c>
      <c r="T30" s="705" t="s">
        <v>18</v>
      </c>
      <c r="U30" s="706">
        <f t="shared" si="13"/>
        <v>100</v>
      </c>
      <c r="V30" s="705" t="s">
        <v>18</v>
      </c>
      <c r="W30" s="706">
        <f t="shared" si="14"/>
        <v>100</v>
      </c>
      <c r="X30" s="1355"/>
      <c r="Y30" s="364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39"/>
      <c r="Q31" s="1352">
        <f t="shared" si="11"/>
        <v>111</v>
      </c>
      <c r="R31" s="705" t="s">
        <v>18</v>
      </c>
      <c r="S31" s="706">
        <f t="shared" si="12"/>
        <v>100</v>
      </c>
      <c r="T31" s="705" t="s">
        <v>18</v>
      </c>
      <c r="U31" s="706">
        <f t="shared" si="13"/>
        <v>100</v>
      </c>
      <c r="V31" s="705" t="s">
        <v>18</v>
      </c>
      <c r="W31" s="706">
        <f t="shared" si="14"/>
        <v>100</v>
      </c>
      <c r="X31" s="1355"/>
      <c r="Y31" s="364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42" t="s">
        <v>1696</v>
      </c>
      <c r="Q32" s="1352" t="str">
        <f t="shared" si="11"/>
        <v>建筑类型</v>
      </c>
      <c r="R32" s="705" t="s">
        <v>18</v>
      </c>
      <c r="S32" s="706">
        <f t="shared" si="12"/>
        <v>100</v>
      </c>
      <c r="T32" s="705" t="s">
        <v>18</v>
      </c>
      <c r="U32" s="706">
        <f t="shared" si="13"/>
        <v>100</v>
      </c>
      <c r="V32" s="705" t="s">
        <v>18</v>
      </c>
      <c r="W32" s="706">
        <f t="shared" si="14"/>
        <v>100</v>
      </c>
      <c r="X32" s="1355"/>
      <c r="Y32" s="364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43"/>
      <c r="Q33" s="707" t="str">
        <f t="shared" si="11"/>
        <v>项目建筑规模</v>
      </c>
      <c r="R33" s="708" t="s">
        <v>18</v>
      </c>
      <c r="S33" s="709" t="e">
        <f t="shared" si="12"/>
        <v>#N/A</v>
      </c>
      <c r="T33" s="708" t="s">
        <v>18</v>
      </c>
      <c r="U33" s="709" t="e">
        <f t="shared" si="13"/>
        <v>#N/A</v>
      </c>
      <c r="V33" s="708" t="s">
        <v>18</v>
      </c>
      <c r="W33" s="709" t="e">
        <f t="shared" si="14"/>
        <v>#N/A</v>
      </c>
      <c r="X33" s="710"/>
      <c r="Y33" s="364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43"/>
      <c r="Q34" s="1352" t="str">
        <f t="shared" si="11"/>
        <v>建筑结构</v>
      </c>
      <c r="R34" s="705" t="s">
        <v>18</v>
      </c>
      <c r="S34" s="706">
        <f t="shared" si="12"/>
        <v>100</v>
      </c>
      <c r="T34" s="705" t="s">
        <v>18</v>
      </c>
      <c r="U34" s="706">
        <f t="shared" si="13"/>
        <v>100</v>
      </c>
      <c r="V34" s="705" t="s">
        <v>18</v>
      </c>
      <c r="W34" s="706">
        <f t="shared" si="14"/>
        <v>100</v>
      </c>
      <c r="X34" s="1355"/>
      <c r="Y34" s="364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43"/>
      <c r="Q35" s="1352" t="str">
        <f t="shared" si="11"/>
        <v>建筑品质</v>
      </c>
      <c r="R35" s="705" t="s">
        <v>18</v>
      </c>
      <c r="S35" s="706">
        <f t="shared" si="12"/>
        <v>100</v>
      </c>
      <c r="T35" s="705" t="s">
        <v>18</v>
      </c>
      <c r="U35" s="706">
        <f t="shared" si="13"/>
        <v>100</v>
      </c>
      <c r="V35" s="705" t="s">
        <v>18</v>
      </c>
      <c r="W35" s="706">
        <f t="shared" si="14"/>
        <v>100</v>
      </c>
      <c r="X35" s="1355"/>
      <c r="Y35" s="364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43"/>
      <c r="Q36" s="1352" t="str">
        <f t="shared" si="11"/>
        <v>公共部分装修</v>
      </c>
      <c r="R36" s="705" t="s">
        <v>18</v>
      </c>
      <c r="S36" s="706">
        <f t="shared" si="12"/>
        <v>100</v>
      </c>
      <c r="T36" s="705" t="s">
        <v>18</v>
      </c>
      <c r="U36" s="706">
        <f t="shared" si="13"/>
        <v>100</v>
      </c>
      <c r="V36" s="705" t="s">
        <v>18</v>
      </c>
      <c r="W36" s="706">
        <f t="shared" si="14"/>
        <v>100</v>
      </c>
      <c r="X36" s="1355"/>
      <c r="Y36" s="364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43"/>
      <c r="Q37" s="1343" t="str">
        <f t="shared" si="11"/>
        <v>成新度</v>
      </c>
      <c r="R37" s="701" t="s">
        <v>18</v>
      </c>
      <c r="S37" s="702" t="e">
        <f t="shared" si="12"/>
        <v>#N/A</v>
      </c>
      <c r="T37" s="701" t="s">
        <v>18</v>
      </c>
      <c r="U37" s="702" t="e">
        <f t="shared" si="13"/>
        <v>#N/A</v>
      </c>
      <c r="V37" s="701" t="s">
        <v>18</v>
      </c>
      <c r="W37" s="702" t="e">
        <f t="shared" si="14"/>
        <v>#N/A</v>
      </c>
      <c r="X37" s="703"/>
      <c r="Y37" s="364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43" t="s">
        <v>1696</v>
      </c>
      <c r="Q38" s="1352" t="str">
        <f t="shared" si="11"/>
        <v>物业管理</v>
      </c>
      <c r="R38" s="705" t="s">
        <v>18</v>
      </c>
      <c r="S38" s="706">
        <f t="shared" si="12"/>
        <v>100</v>
      </c>
      <c r="T38" s="705" t="s">
        <v>18</v>
      </c>
      <c r="U38" s="706">
        <f t="shared" si="13"/>
        <v>100</v>
      </c>
      <c r="V38" s="705" t="s">
        <v>18</v>
      </c>
      <c r="W38" s="706">
        <f t="shared" si="14"/>
        <v>100</v>
      </c>
      <c r="X38" s="1355"/>
      <c r="Y38" s="364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43"/>
      <c r="Q39" s="1352" t="str">
        <f t="shared" si="11"/>
        <v>市政基础设施</v>
      </c>
      <c r="R39" s="705" t="s">
        <v>18</v>
      </c>
      <c r="S39" s="706">
        <f t="shared" si="12"/>
        <v>100</v>
      </c>
      <c r="T39" s="705" t="s">
        <v>18</v>
      </c>
      <c r="U39" s="706">
        <f t="shared" si="13"/>
        <v>100</v>
      </c>
      <c r="V39" s="705" t="s">
        <v>18</v>
      </c>
      <c r="W39" s="706">
        <f t="shared" si="14"/>
        <v>100</v>
      </c>
      <c r="X39" s="1355"/>
      <c r="Y39" s="364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43"/>
      <c r="Q40" s="1352" t="str">
        <f t="shared" si="11"/>
        <v>房型</v>
      </c>
      <c r="R40" s="705" t="s">
        <v>18</v>
      </c>
      <c r="S40" s="706">
        <f t="shared" si="12"/>
        <v>100</v>
      </c>
      <c r="T40" s="705" t="s">
        <v>18</v>
      </c>
      <c r="U40" s="706">
        <f t="shared" si="13"/>
        <v>100</v>
      </c>
      <c r="V40" s="705" t="s">
        <v>18</v>
      </c>
      <c r="W40" s="706">
        <f t="shared" si="14"/>
        <v>100</v>
      </c>
      <c r="X40" s="1355"/>
      <c r="Y40" s="364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43"/>
      <c r="Q41" s="707" t="str">
        <f t="shared" si="11"/>
        <v>单套/主力户型建筑面积</v>
      </c>
      <c r="R41" s="708" t="s">
        <v>18</v>
      </c>
      <c r="S41" s="709">
        <f t="shared" si="12"/>
        <v>100</v>
      </c>
      <c r="T41" s="708" t="s">
        <v>18</v>
      </c>
      <c r="U41" s="709">
        <f t="shared" si="13"/>
        <v>100</v>
      </c>
      <c r="V41" s="708" t="s">
        <v>18</v>
      </c>
      <c r="W41" s="709">
        <f t="shared" si="14"/>
        <v>100</v>
      </c>
      <c r="X41" s="710"/>
      <c r="Y41" s="364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43"/>
      <c r="Q42" s="1352" t="str">
        <f t="shared" si="11"/>
        <v>内部装修</v>
      </c>
      <c r="R42" s="705" t="s">
        <v>18</v>
      </c>
      <c r="S42" s="706">
        <f t="shared" si="12"/>
        <v>100</v>
      </c>
      <c r="T42" s="705" t="s">
        <v>18</v>
      </c>
      <c r="U42" s="706">
        <f t="shared" si="13"/>
        <v>100</v>
      </c>
      <c r="V42" s="705" t="s">
        <v>18</v>
      </c>
      <c r="W42" s="706">
        <f t="shared" si="14"/>
        <v>100</v>
      </c>
      <c r="X42" s="1355"/>
      <c r="Y42" s="364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43"/>
      <c r="Q43" s="1352" t="str">
        <f t="shared" si="11"/>
        <v>内部装修维护情况</v>
      </c>
      <c r="R43" s="705" t="s">
        <v>18</v>
      </c>
      <c r="S43" s="706">
        <f t="shared" si="12"/>
        <v>100</v>
      </c>
      <c r="T43" s="705" t="s">
        <v>18</v>
      </c>
      <c r="U43" s="706">
        <f t="shared" si="13"/>
        <v>100</v>
      </c>
      <c r="V43" s="705" t="s">
        <v>18</v>
      </c>
      <c r="W43" s="706">
        <f t="shared" si="14"/>
        <v>100</v>
      </c>
      <c r="X43" s="1355"/>
      <c r="Y43" s="364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43"/>
      <c r="Q44" s="1343">
        <f t="shared" si="11"/>
        <v>111</v>
      </c>
      <c r="R44" s="701" t="s">
        <v>18</v>
      </c>
      <c r="S44" s="702">
        <f t="shared" si="12"/>
        <v>100</v>
      </c>
      <c r="T44" s="701" t="s">
        <v>18</v>
      </c>
      <c r="U44" s="702">
        <f t="shared" si="13"/>
        <v>100</v>
      </c>
      <c r="V44" s="701" t="s">
        <v>18</v>
      </c>
      <c r="W44" s="702">
        <f t="shared" si="14"/>
        <v>100</v>
      </c>
      <c r="X44" s="703"/>
      <c r="Y44" s="364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43"/>
      <c r="Q45" s="1352">
        <f t="shared" si="11"/>
        <v>111</v>
      </c>
      <c r="R45" s="705" t="s">
        <v>18</v>
      </c>
      <c r="S45" s="706">
        <f t="shared" si="12"/>
        <v>100</v>
      </c>
      <c r="T45" s="705" t="s">
        <v>18</v>
      </c>
      <c r="U45" s="706">
        <f t="shared" si="13"/>
        <v>100</v>
      </c>
      <c r="V45" s="705" t="s">
        <v>18</v>
      </c>
      <c r="W45" s="706">
        <f t="shared" si="14"/>
        <v>100</v>
      </c>
      <c r="X45" s="1355"/>
      <c r="Y45" s="364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44"/>
      <c r="Q46" s="1352">
        <f t="shared" si="11"/>
        <v>111</v>
      </c>
      <c r="R46" s="705" t="s">
        <v>17</v>
      </c>
      <c r="S46" s="706">
        <f t="shared" si="12"/>
        <v>100</v>
      </c>
      <c r="T46" s="705" t="s">
        <v>17</v>
      </c>
      <c r="U46" s="706">
        <f t="shared" si="13"/>
        <v>100</v>
      </c>
      <c r="V46" s="705" t="s">
        <v>17</v>
      </c>
      <c r="W46" s="706">
        <f t="shared" si="14"/>
        <v>100</v>
      </c>
      <c r="X46" s="1355"/>
      <c r="Y46" s="364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33" t="str">
        <f>A47</f>
        <v>成交单价（元/平方米）</v>
      </c>
      <c r="Q47" s="3633"/>
      <c r="R47" s="3634">
        <f>E47</f>
        <v>0</v>
      </c>
      <c r="S47" s="3634"/>
      <c r="T47" s="3634">
        <f>G47</f>
        <v>0</v>
      </c>
      <c r="U47" s="3634"/>
      <c r="V47" s="3634">
        <f>I47</f>
        <v>0</v>
      </c>
      <c r="W47" s="363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33" t="str">
        <f>A48</f>
        <v>比较价值（元/平方米）</v>
      </c>
      <c r="Q48" s="3633"/>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35" t="str">
        <f>A49</f>
        <v>估价对象XX用房的比较价值（楼面单价，元/平方米）</v>
      </c>
      <c r="Q49" s="3636"/>
      <c r="R49" s="3637" t="e">
        <f>IF(F1="售价",ROUND(IF(D48="简单平均",AVERAGE(R48:V48),R48*F48+T48*H48+V48*J48),0),ROUND(IF(D48="简单平均",AVERAGE(R48:V48),R48*F48+T48*H48+V48*J48),1))</f>
        <v>#DIV/0!</v>
      </c>
      <c r="S49" s="3637"/>
      <c r="T49" s="3637"/>
      <c r="U49" s="3637"/>
      <c r="V49" s="3637"/>
      <c r="W49" s="363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155.06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52" t="s">
        <v>1770</v>
      </c>
      <c r="D4" s="3653"/>
      <c r="E4" s="3654" t="s">
        <v>1771</v>
      </c>
      <c r="F4" s="3655"/>
      <c r="G4" s="3652" t="s">
        <v>1772</v>
      </c>
      <c r="H4" s="3653"/>
      <c r="I4" s="3652" t="s">
        <v>1773</v>
      </c>
      <c r="J4" s="3653"/>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70" t="s">
        <v>1673</v>
      </c>
      <c r="D5" s="3671"/>
      <c r="E5" s="3677" t="s">
        <v>1674</v>
      </c>
      <c r="F5" s="3678"/>
      <c r="G5" s="3670" t="s">
        <v>1675</v>
      </c>
      <c r="H5" s="3671"/>
      <c r="I5" s="3670" t="s">
        <v>1676</v>
      </c>
      <c r="J5" s="3671"/>
      <c r="K5" s="559"/>
      <c r="L5" s="2715"/>
      <c r="M5" s="2716"/>
      <c r="N5" s="2716"/>
      <c r="O5" s="2716"/>
      <c r="P5" s="3716"/>
      <c r="Q5" s="3659"/>
      <c r="R5" s="3664"/>
      <c r="S5" s="3665"/>
      <c r="T5" s="3664"/>
      <c r="U5" s="3665"/>
      <c r="V5" s="3647"/>
      <c r="W5" s="3647"/>
      <c r="X5" s="1355"/>
      <c r="Y5" s="3664"/>
      <c r="Z5" s="3665"/>
      <c r="AA5" s="3650"/>
      <c r="AB5" s="3650"/>
      <c r="AC5" s="3712"/>
    </row>
    <row r="6" spans="1:29" ht="15.75" thickBot="1">
      <c r="A6" s="360"/>
      <c r="B6" s="361"/>
      <c r="C6" s="3668" t="s">
        <v>1677</v>
      </c>
      <c r="D6" s="3669"/>
      <c r="E6" s="3675" t="s">
        <v>1677</v>
      </c>
      <c r="F6" s="3676"/>
      <c r="G6" s="3668" t="s">
        <v>1677</v>
      </c>
      <c r="H6" s="3669"/>
      <c r="I6" s="3668" t="s">
        <v>1677</v>
      </c>
      <c r="J6" s="3669"/>
      <c r="K6" s="559" t="s">
        <v>1678</v>
      </c>
      <c r="L6" s="2715"/>
      <c r="M6" s="2716"/>
      <c r="N6" s="2716"/>
      <c r="O6" s="2716"/>
      <c r="P6" s="3717"/>
      <c r="Q6" s="3661"/>
      <c r="R6" s="3664"/>
      <c r="S6" s="3665"/>
      <c r="T6" s="3666"/>
      <c r="U6" s="3667"/>
      <c r="V6" s="3647"/>
      <c r="W6" s="3647"/>
      <c r="X6" s="1355"/>
      <c r="Y6" s="3666"/>
      <c r="Z6" s="3667"/>
      <c r="AA6" s="3651"/>
      <c r="AB6" s="3651"/>
      <c r="AC6" s="3713"/>
    </row>
    <row r="7" spans="1:29" s="108" customFormat="1" ht="15.75" thickBot="1">
      <c r="A7" s="362" t="s">
        <v>1679</v>
      </c>
      <c r="B7" s="363"/>
      <c r="C7" s="364">
        <f>'数据-取费表'!B2</f>
        <v>45029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674"/>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673"/>
      <c r="R8" s="701" t="s">
        <v>14</v>
      </c>
      <c r="S8" s="702">
        <f t="shared" si="0"/>
        <v>100</v>
      </c>
      <c r="T8" s="701" t="s">
        <v>14</v>
      </c>
      <c r="U8" s="702">
        <f t="shared" si="1"/>
        <v>100</v>
      </c>
      <c r="V8" s="701" t="s">
        <v>14</v>
      </c>
      <c r="W8" s="702">
        <f t="shared" si="2"/>
        <v>100</v>
      </c>
      <c r="X8" s="703"/>
      <c r="Y8" s="3672" t="s">
        <v>1683</v>
      </c>
      <c r="Z8" s="367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48"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8"/>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8"/>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8"/>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8"/>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38" t="s">
        <v>1691</v>
      </c>
      <c r="Q15" s="1352" t="str">
        <f t="shared" si="6"/>
        <v>办公集聚程度</v>
      </c>
      <c r="R15" s="705" t="s">
        <v>14</v>
      </c>
      <c r="S15" s="706">
        <f t="shared" si="0"/>
        <v>100</v>
      </c>
      <c r="T15" s="705" t="s">
        <v>14</v>
      </c>
      <c r="U15" s="706">
        <f t="shared" si="1"/>
        <v>100</v>
      </c>
      <c r="V15" s="705" t="s">
        <v>14</v>
      </c>
      <c r="W15" s="706">
        <f t="shared" si="2"/>
        <v>100</v>
      </c>
      <c r="X15" s="1355"/>
      <c r="Y15" s="364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39"/>
      <c r="Q16" s="1352"/>
      <c r="R16" s="705"/>
      <c r="S16" s="706"/>
      <c r="T16" s="705"/>
      <c r="U16" s="706"/>
      <c r="V16" s="705"/>
      <c r="W16" s="706"/>
      <c r="X16" s="1355"/>
      <c r="Y16" s="364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39"/>
      <c r="Q17" s="1352" t="str">
        <f>B17</f>
        <v>交通便捷度</v>
      </c>
      <c r="R17" s="705" t="s">
        <v>14</v>
      </c>
      <c r="S17" s="706">
        <f>F17</f>
        <v>100</v>
      </c>
      <c r="T17" s="705" t="s">
        <v>14</v>
      </c>
      <c r="U17" s="706">
        <f>H17</f>
        <v>100</v>
      </c>
      <c r="V17" s="705" t="s">
        <v>14</v>
      </c>
      <c r="W17" s="706">
        <f>J17</f>
        <v>100</v>
      </c>
      <c r="X17" s="1355"/>
      <c r="Y17" s="364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39"/>
      <c r="Q18" s="1352"/>
      <c r="R18" s="705"/>
      <c r="S18" s="706"/>
      <c r="T18" s="705"/>
      <c r="U18" s="706"/>
      <c r="V18" s="705"/>
      <c r="W18" s="706"/>
      <c r="X18" s="1355"/>
      <c r="Y18" s="364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39"/>
      <c r="Q19" s="1352" t="str">
        <f>B19</f>
        <v>公共配套设施</v>
      </c>
      <c r="R19" s="705" t="s">
        <v>14</v>
      </c>
      <c r="S19" s="706">
        <f>F19</f>
        <v>100</v>
      </c>
      <c r="T19" s="705" t="s">
        <v>14</v>
      </c>
      <c r="U19" s="706">
        <f>H19</f>
        <v>100</v>
      </c>
      <c r="V19" s="705" t="s">
        <v>14</v>
      </c>
      <c r="W19" s="706">
        <f>J19</f>
        <v>100</v>
      </c>
      <c r="X19" s="1355"/>
      <c r="Y19" s="364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39"/>
      <c r="Q20" s="1352"/>
      <c r="R20" s="705"/>
      <c r="S20" s="706"/>
      <c r="T20" s="705"/>
      <c r="U20" s="706"/>
      <c r="V20" s="705"/>
      <c r="W20" s="706"/>
      <c r="X20" s="1355"/>
      <c r="Y20" s="364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39"/>
      <c r="Q21" s="1352" t="str">
        <f>B21</f>
        <v>基础设施水平</v>
      </c>
      <c r="R21" s="705" t="s">
        <v>14</v>
      </c>
      <c r="S21" s="706">
        <f>F21</f>
        <v>100</v>
      </c>
      <c r="T21" s="705" t="s">
        <v>14</v>
      </c>
      <c r="U21" s="706">
        <f>H21</f>
        <v>100</v>
      </c>
      <c r="V21" s="705" t="s">
        <v>14</v>
      </c>
      <c r="W21" s="706">
        <f>J21</f>
        <v>100</v>
      </c>
      <c r="X21" s="1355"/>
      <c r="Y21" s="364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39"/>
      <c r="Q22" s="1352"/>
      <c r="R22" s="705"/>
      <c r="S22" s="706"/>
      <c r="T22" s="705"/>
      <c r="U22" s="706"/>
      <c r="V22" s="705"/>
      <c r="W22" s="706"/>
      <c r="X22" s="1355"/>
      <c r="Y22" s="364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39"/>
      <c r="Q23" s="1352" t="str">
        <f>B23</f>
        <v>环境质量</v>
      </c>
      <c r="R23" s="705" t="s">
        <v>14</v>
      </c>
      <c r="S23" s="706">
        <f>F23</f>
        <v>100</v>
      </c>
      <c r="T23" s="705" t="s">
        <v>14</v>
      </c>
      <c r="U23" s="706">
        <f>H23</f>
        <v>100</v>
      </c>
      <c r="V23" s="705" t="s">
        <v>14</v>
      </c>
      <c r="W23" s="706">
        <f>J23</f>
        <v>100</v>
      </c>
      <c r="X23" s="1355"/>
      <c r="Y23" s="364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39"/>
      <c r="Q24" s="1352"/>
      <c r="R24" s="705"/>
      <c r="S24" s="706"/>
      <c r="T24" s="705"/>
      <c r="U24" s="706"/>
      <c r="V24" s="705"/>
      <c r="W24" s="706"/>
      <c r="X24" s="1355"/>
      <c r="Y24" s="364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39"/>
      <c r="Q25" s="1352" t="str">
        <f>B25</f>
        <v>毗邻道路的类型与等级</v>
      </c>
      <c r="R25" s="705" t="s">
        <v>14</v>
      </c>
      <c r="S25" s="706">
        <f>F25</f>
        <v>100</v>
      </c>
      <c r="T25" s="705" t="s">
        <v>14</v>
      </c>
      <c r="U25" s="706">
        <f>H25</f>
        <v>100</v>
      </c>
      <c r="V25" s="705" t="s">
        <v>14</v>
      </c>
      <c r="W25" s="706">
        <f>J25</f>
        <v>100</v>
      </c>
      <c r="X25" s="1355"/>
      <c r="Y25" s="364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39"/>
      <c r="Q26" s="1352"/>
      <c r="R26" s="705"/>
      <c r="S26" s="706"/>
      <c r="T26" s="705"/>
      <c r="U26" s="706"/>
      <c r="V26" s="705"/>
      <c r="W26" s="706"/>
      <c r="X26" s="1355"/>
      <c r="Y26" s="364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39"/>
      <c r="Q27" s="1352" t="str">
        <f t="shared" ref="Q27:Q47" si="11">B27</f>
        <v>楼层</v>
      </c>
      <c r="R27" s="705" t="s">
        <v>14</v>
      </c>
      <c r="S27" s="706">
        <f>F27</f>
        <v>100</v>
      </c>
      <c r="T27" s="705" t="s">
        <v>14</v>
      </c>
      <c r="U27" s="706">
        <f>H27</f>
        <v>100</v>
      </c>
      <c r="V27" s="705" t="s">
        <v>14</v>
      </c>
      <c r="W27" s="706">
        <f>J27</f>
        <v>100</v>
      </c>
      <c r="X27" s="1355"/>
      <c r="Y27" s="364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39"/>
      <c r="Q28" s="1343" t="str">
        <f t="shared" si="11"/>
        <v>朝向</v>
      </c>
      <c r="R28" s="701" t="s">
        <v>14</v>
      </c>
      <c r="S28" s="702">
        <f>F28</f>
        <v>100</v>
      </c>
      <c r="T28" s="701" t="s">
        <v>14</v>
      </c>
      <c r="U28" s="702">
        <f>H28</f>
        <v>100</v>
      </c>
      <c r="V28" s="701" t="s">
        <v>14</v>
      </c>
      <c r="W28" s="702">
        <f>J28</f>
        <v>100</v>
      </c>
      <c r="X28" s="703"/>
      <c r="Y28" s="364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39"/>
      <c r="Q29" s="1352">
        <f t="shared" si="11"/>
        <v>111</v>
      </c>
      <c r="R29" s="705" t="s">
        <v>14</v>
      </c>
      <c r="S29" s="706">
        <f t="shared" ref="S29:S47" si="12">F29</f>
        <v>100</v>
      </c>
      <c r="T29" s="705" t="s">
        <v>14</v>
      </c>
      <c r="U29" s="706">
        <f t="shared" ref="U29:U47" si="13">H29</f>
        <v>100</v>
      </c>
      <c r="V29" s="705" t="s">
        <v>14</v>
      </c>
      <c r="W29" s="706">
        <f t="shared" ref="W29:W47" si="14">J29</f>
        <v>100</v>
      </c>
      <c r="X29" s="1355"/>
      <c r="Y29" s="364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39"/>
      <c r="Q30" s="1352">
        <f t="shared" si="11"/>
        <v>111</v>
      </c>
      <c r="R30" s="705" t="s">
        <v>14</v>
      </c>
      <c r="S30" s="706">
        <f t="shared" si="12"/>
        <v>100</v>
      </c>
      <c r="T30" s="705" t="s">
        <v>14</v>
      </c>
      <c r="U30" s="706">
        <f t="shared" si="13"/>
        <v>100</v>
      </c>
      <c r="V30" s="705" t="s">
        <v>14</v>
      </c>
      <c r="W30" s="706">
        <f t="shared" si="14"/>
        <v>100</v>
      </c>
      <c r="X30" s="1355"/>
      <c r="Y30" s="364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39"/>
      <c r="Q31" s="1352">
        <f t="shared" si="11"/>
        <v>111</v>
      </c>
      <c r="R31" s="705" t="s">
        <v>14</v>
      </c>
      <c r="S31" s="706">
        <f t="shared" si="12"/>
        <v>100</v>
      </c>
      <c r="T31" s="705" t="s">
        <v>14</v>
      </c>
      <c r="U31" s="706">
        <f t="shared" si="13"/>
        <v>100</v>
      </c>
      <c r="V31" s="705" t="s">
        <v>14</v>
      </c>
      <c r="W31" s="706">
        <f t="shared" si="14"/>
        <v>100</v>
      </c>
      <c r="X31" s="1355"/>
      <c r="Y31" s="364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39"/>
      <c r="Q32" s="1352">
        <f t="shared" si="11"/>
        <v>111</v>
      </c>
      <c r="R32" s="705" t="s">
        <v>14</v>
      </c>
      <c r="S32" s="706">
        <f t="shared" si="12"/>
        <v>100</v>
      </c>
      <c r="T32" s="705" t="s">
        <v>14</v>
      </c>
      <c r="U32" s="706">
        <f t="shared" si="13"/>
        <v>100</v>
      </c>
      <c r="V32" s="705" t="s">
        <v>14</v>
      </c>
      <c r="W32" s="706">
        <f t="shared" si="14"/>
        <v>100</v>
      </c>
      <c r="X32" s="1355"/>
      <c r="Y32" s="364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42" t="s">
        <v>1696</v>
      </c>
      <c r="Q33" s="1352" t="str">
        <f t="shared" si="11"/>
        <v>建筑类型</v>
      </c>
      <c r="R33" s="705" t="s">
        <v>14</v>
      </c>
      <c r="S33" s="706">
        <f t="shared" si="12"/>
        <v>100</v>
      </c>
      <c r="T33" s="705" t="s">
        <v>14</v>
      </c>
      <c r="U33" s="706">
        <f t="shared" si="13"/>
        <v>100</v>
      </c>
      <c r="V33" s="705" t="s">
        <v>14</v>
      </c>
      <c r="W33" s="706">
        <f t="shared" si="14"/>
        <v>100</v>
      </c>
      <c r="X33" s="1355"/>
      <c r="Y33" s="364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43"/>
      <c r="Q34" s="707" t="str">
        <f t="shared" si="11"/>
        <v>项目建筑规模</v>
      </c>
      <c r="R34" s="708" t="s">
        <v>14</v>
      </c>
      <c r="S34" s="709" t="e">
        <f t="shared" si="12"/>
        <v>#N/A</v>
      </c>
      <c r="T34" s="708" t="s">
        <v>14</v>
      </c>
      <c r="U34" s="709" t="e">
        <f t="shared" si="13"/>
        <v>#N/A</v>
      </c>
      <c r="V34" s="708" t="s">
        <v>14</v>
      </c>
      <c r="W34" s="709" t="e">
        <f t="shared" si="14"/>
        <v>#N/A</v>
      </c>
      <c r="X34" s="710"/>
      <c r="Y34" s="364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43"/>
      <c r="Q35" s="1352" t="str">
        <f t="shared" si="11"/>
        <v>建筑结构</v>
      </c>
      <c r="R35" s="705" t="s">
        <v>14</v>
      </c>
      <c r="S35" s="706">
        <f t="shared" si="12"/>
        <v>100</v>
      </c>
      <c r="T35" s="705" t="s">
        <v>14</v>
      </c>
      <c r="U35" s="706">
        <f t="shared" si="13"/>
        <v>100</v>
      </c>
      <c r="V35" s="705" t="s">
        <v>14</v>
      </c>
      <c r="W35" s="706">
        <f t="shared" si="14"/>
        <v>100</v>
      </c>
      <c r="X35" s="1355"/>
      <c r="Y35" s="364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43"/>
      <c r="Q36" s="1352" t="str">
        <f t="shared" si="11"/>
        <v>公共部分装修</v>
      </c>
      <c r="R36" s="705" t="s">
        <v>14</v>
      </c>
      <c r="S36" s="706">
        <f t="shared" si="12"/>
        <v>100</v>
      </c>
      <c r="T36" s="705" t="s">
        <v>14</v>
      </c>
      <c r="U36" s="706">
        <f t="shared" si="13"/>
        <v>100</v>
      </c>
      <c r="V36" s="705" t="s">
        <v>14</v>
      </c>
      <c r="W36" s="706">
        <f t="shared" si="14"/>
        <v>100</v>
      </c>
      <c r="X36" s="1355"/>
      <c r="Y36" s="364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43"/>
      <c r="Q37" s="1352" t="str">
        <f t="shared" si="11"/>
        <v>成新度</v>
      </c>
      <c r="R37" s="705" t="s">
        <v>14</v>
      </c>
      <c r="S37" s="706" t="e">
        <f t="shared" si="12"/>
        <v>#N/A</v>
      </c>
      <c r="T37" s="705" t="s">
        <v>14</v>
      </c>
      <c r="U37" s="706" t="e">
        <f t="shared" si="13"/>
        <v>#N/A</v>
      </c>
      <c r="V37" s="705" t="s">
        <v>14</v>
      </c>
      <c r="W37" s="706" t="e">
        <f t="shared" si="14"/>
        <v>#N/A</v>
      </c>
      <c r="X37" s="1355"/>
      <c r="Y37" s="364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43"/>
      <c r="Q38" s="1343" t="str">
        <f t="shared" si="11"/>
        <v>写字楼等级</v>
      </c>
      <c r="R38" s="701" t="s">
        <v>14</v>
      </c>
      <c r="S38" s="702">
        <f t="shared" si="12"/>
        <v>100</v>
      </c>
      <c r="T38" s="701" t="s">
        <v>14</v>
      </c>
      <c r="U38" s="702">
        <f t="shared" si="13"/>
        <v>100</v>
      </c>
      <c r="V38" s="701" t="s">
        <v>14</v>
      </c>
      <c r="W38" s="702">
        <f t="shared" si="14"/>
        <v>100</v>
      </c>
      <c r="X38" s="703"/>
      <c r="Y38" s="364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43" t="s">
        <v>1696</v>
      </c>
      <c r="Q39" s="1352" t="str">
        <f t="shared" si="11"/>
        <v>物业管理</v>
      </c>
      <c r="R39" s="705" t="s">
        <v>14</v>
      </c>
      <c r="S39" s="706">
        <f t="shared" si="12"/>
        <v>100</v>
      </c>
      <c r="T39" s="705" t="s">
        <v>14</v>
      </c>
      <c r="U39" s="706">
        <f t="shared" si="13"/>
        <v>100</v>
      </c>
      <c r="V39" s="705" t="s">
        <v>14</v>
      </c>
      <c r="W39" s="706">
        <f t="shared" si="14"/>
        <v>100</v>
      </c>
      <c r="X39" s="1355"/>
      <c r="Y39" s="364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43"/>
      <c r="Q40" s="1352" t="str">
        <f t="shared" si="11"/>
        <v>市政基础设施</v>
      </c>
      <c r="R40" s="705" t="s">
        <v>14</v>
      </c>
      <c r="S40" s="706">
        <f t="shared" si="12"/>
        <v>100</v>
      </c>
      <c r="T40" s="705" t="s">
        <v>14</v>
      </c>
      <c r="U40" s="706">
        <f t="shared" si="13"/>
        <v>100</v>
      </c>
      <c r="V40" s="705" t="s">
        <v>14</v>
      </c>
      <c r="W40" s="706">
        <f t="shared" si="14"/>
        <v>100</v>
      </c>
      <c r="X40" s="1355"/>
      <c r="Y40" s="364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43"/>
      <c r="Q41" s="1352" t="str">
        <f t="shared" si="11"/>
        <v>层高</v>
      </c>
      <c r="R41" s="705" t="s">
        <v>14</v>
      </c>
      <c r="S41" s="706">
        <f t="shared" si="12"/>
        <v>100</v>
      </c>
      <c r="T41" s="705" t="s">
        <v>14</v>
      </c>
      <c r="U41" s="706">
        <f t="shared" si="13"/>
        <v>100</v>
      </c>
      <c r="V41" s="705" t="s">
        <v>14</v>
      </c>
      <c r="W41" s="706">
        <f t="shared" si="14"/>
        <v>100</v>
      </c>
      <c r="X41" s="1355"/>
      <c r="Y41" s="364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43"/>
      <c r="Q42" s="707" t="str">
        <f t="shared" si="11"/>
        <v>单套建筑面积</v>
      </c>
      <c r="R42" s="708" t="s">
        <v>14</v>
      </c>
      <c r="S42" s="709">
        <f t="shared" si="12"/>
        <v>100</v>
      </c>
      <c r="T42" s="708" t="s">
        <v>14</v>
      </c>
      <c r="U42" s="709">
        <f t="shared" si="13"/>
        <v>100</v>
      </c>
      <c r="V42" s="708" t="s">
        <v>14</v>
      </c>
      <c r="W42" s="709">
        <f t="shared" si="14"/>
        <v>100</v>
      </c>
      <c r="X42" s="710"/>
      <c r="Y42" s="364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43"/>
      <c r="Q43" s="1352" t="str">
        <f t="shared" si="11"/>
        <v>内部装修</v>
      </c>
      <c r="R43" s="705" t="s">
        <v>14</v>
      </c>
      <c r="S43" s="706">
        <f t="shared" si="12"/>
        <v>100</v>
      </c>
      <c r="T43" s="705" t="s">
        <v>14</v>
      </c>
      <c r="U43" s="706">
        <f t="shared" si="13"/>
        <v>100</v>
      </c>
      <c r="V43" s="705" t="s">
        <v>14</v>
      </c>
      <c r="W43" s="706">
        <f t="shared" si="14"/>
        <v>100</v>
      </c>
      <c r="X43" s="1355"/>
      <c r="Y43" s="364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43"/>
      <c r="Q44" s="1352" t="str">
        <f t="shared" si="11"/>
        <v>内部装修维护情况</v>
      </c>
      <c r="R44" s="705" t="s">
        <v>14</v>
      </c>
      <c r="S44" s="706">
        <f t="shared" si="12"/>
        <v>100</v>
      </c>
      <c r="T44" s="705" t="s">
        <v>14</v>
      </c>
      <c r="U44" s="706">
        <f t="shared" si="13"/>
        <v>100</v>
      </c>
      <c r="V44" s="705" t="s">
        <v>14</v>
      </c>
      <c r="W44" s="706">
        <f t="shared" si="14"/>
        <v>100</v>
      </c>
      <c r="X44" s="1355"/>
      <c r="Y44" s="364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43"/>
      <c r="Q45" s="1343">
        <f t="shared" si="11"/>
        <v>111</v>
      </c>
      <c r="R45" s="701" t="s">
        <v>14</v>
      </c>
      <c r="S45" s="702">
        <f t="shared" si="12"/>
        <v>100</v>
      </c>
      <c r="T45" s="701" t="s">
        <v>14</v>
      </c>
      <c r="U45" s="702">
        <f t="shared" si="13"/>
        <v>100</v>
      </c>
      <c r="V45" s="701" t="s">
        <v>14</v>
      </c>
      <c r="W45" s="702">
        <f t="shared" si="14"/>
        <v>100</v>
      </c>
      <c r="X45" s="703"/>
      <c r="Y45" s="364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43"/>
      <c r="Q46" s="1352">
        <f t="shared" si="11"/>
        <v>111</v>
      </c>
      <c r="R46" s="705" t="s">
        <v>14</v>
      </c>
      <c r="S46" s="706">
        <f t="shared" si="12"/>
        <v>100</v>
      </c>
      <c r="T46" s="705" t="s">
        <v>14</v>
      </c>
      <c r="U46" s="706">
        <f t="shared" si="13"/>
        <v>100</v>
      </c>
      <c r="V46" s="705" t="s">
        <v>14</v>
      </c>
      <c r="W46" s="706">
        <f t="shared" si="14"/>
        <v>100</v>
      </c>
      <c r="X46" s="1355"/>
      <c r="Y46" s="364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44"/>
      <c r="Q47" s="1352">
        <f t="shared" si="11"/>
        <v>111</v>
      </c>
      <c r="R47" s="705" t="s">
        <v>14</v>
      </c>
      <c r="S47" s="706">
        <f t="shared" si="12"/>
        <v>100</v>
      </c>
      <c r="T47" s="705" t="s">
        <v>14</v>
      </c>
      <c r="U47" s="706">
        <f t="shared" si="13"/>
        <v>100</v>
      </c>
      <c r="V47" s="705" t="s">
        <v>14</v>
      </c>
      <c r="W47" s="706">
        <f t="shared" si="14"/>
        <v>100</v>
      </c>
      <c r="X47" s="1355"/>
      <c r="Y47" s="364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48" t="str">
        <f>A48</f>
        <v>成交单价（元/平方米）</v>
      </c>
      <c r="Q48" s="3633"/>
      <c r="R48" s="3634">
        <f>E48</f>
        <v>0</v>
      </c>
      <c r="S48" s="3634"/>
      <c r="T48" s="3634">
        <f>G48</f>
        <v>0</v>
      </c>
      <c r="U48" s="3634"/>
      <c r="V48" s="3634">
        <f>I48</f>
        <v>0</v>
      </c>
      <c r="W48" s="363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48" t="str">
        <f>A49</f>
        <v>比较价值（元/平方米）</v>
      </c>
      <c r="Q49" s="3633"/>
      <c r="R49" s="3634" t="e">
        <f>IF(F1="售价",ROUND(PRODUCT(R48,AA7:AA47),0),ROUND(PRODUCT(R48,AA7:AA47),1))</f>
        <v>#DIV/0!</v>
      </c>
      <c r="S49" s="3634"/>
      <c r="T49" s="3634" t="e">
        <f>IF(F1="售价",ROUND(PRODUCT(T48,AB7:AB47),0),ROUND(PRODUCT(T48,AB7:AB47),1))</f>
        <v>#DIV/0!</v>
      </c>
      <c r="U49" s="3634"/>
      <c r="V49" s="3634" t="e">
        <f>IF(F1="售价",ROUND(PRODUCT(V48,AC7:AC47),0),ROUND(PRODUCT(V48,AC7:AC47),1))</f>
        <v>#DIV/0!</v>
      </c>
      <c r="W49" s="363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155.06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52" t="s">
        <v>1770</v>
      </c>
      <c r="D4" s="3653"/>
      <c r="E4" s="3654" t="s">
        <v>1771</v>
      </c>
      <c r="F4" s="3655"/>
      <c r="G4" s="3652" t="s">
        <v>1772</v>
      </c>
      <c r="H4" s="3653"/>
      <c r="I4" s="3652" t="s">
        <v>1773</v>
      </c>
      <c r="J4" s="3653"/>
      <c r="K4" s="559" t="s">
        <v>1774</v>
      </c>
      <c r="L4" s="913"/>
      <c r="M4" s="914"/>
      <c r="N4" s="914"/>
      <c r="O4" s="914"/>
      <c r="P4" s="3656" t="s">
        <v>1775</v>
      </c>
      <c r="Q4" s="3657"/>
      <c r="R4" s="3662" t="s">
        <v>1771</v>
      </c>
      <c r="S4" s="3663"/>
      <c r="T4" s="3662" t="s">
        <v>1772</v>
      </c>
      <c r="U4" s="3663"/>
      <c r="V4" s="3647" t="s">
        <v>1773</v>
      </c>
      <c r="W4" s="3647"/>
      <c r="X4" s="1355"/>
      <c r="Y4" s="3662" t="s">
        <v>1775</v>
      </c>
      <c r="Z4" s="3663"/>
      <c r="AA4" s="3649" t="s">
        <v>1771</v>
      </c>
      <c r="AB4" s="3650" t="s">
        <v>1772</v>
      </c>
      <c r="AC4" s="3649" t="s">
        <v>1773</v>
      </c>
    </row>
    <row r="5" spans="1:29" ht="15">
      <c r="A5" s="358"/>
      <c r="B5" s="359"/>
      <c r="C5" s="3670" t="s">
        <v>1673</v>
      </c>
      <c r="D5" s="3671"/>
      <c r="E5" s="3677" t="s">
        <v>1674</v>
      </c>
      <c r="F5" s="3678"/>
      <c r="G5" s="3670" t="s">
        <v>1675</v>
      </c>
      <c r="H5" s="3671"/>
      <c r="I5" s="3670" t="s">
        <v>1676</v>
      </c>
      <c r="J5" s="3671"/>
      <c r="K5" s="559"/>
      <c r="L5" s="913"/>
      <c r="M5" s="914"/>
      <c r="N5" s="914"/>
      <c r="O5" s="914"/>
      <c r="P5" s="3658"/>
      <c r="Q5" s="3659"/>
      <c r="R5" s="3664"/>
      <c r="S5" s="3665"/>
      <c r="T5" s="3664"/>
      <c r="U5" s="3665"/>
      <c r="V5" s="3647"/>
      <c r="W5" s="3647"/>
      <c r="X5" s="1355"/>
      <c r="Y5" s="3664"/>
      <c r="Z5" s="3665"/>
      <c r="AA5" s="3650"/>
      <c r="AB5" s="3650"/>
      <c r="AC5" s="3650"/>
    </row>
    <row r="6" spans="1:29" ht="15.75" thickBot="1">
      <c r="A6" s="360"/>
      <c r="B6" s="361"/>
      <c r="C6" s="3668" t="s">
        <v>1677</v>
      </c>
      <c r="D6" s="3669"/>
      <c r="E6" s="3675" t="s">
        <v>1677</v>
      </c>
      <c r="F6" s="3676"/>
      <c r="G6" s="3668" t="s">
        <v>1677</v>
      </c>
      <c r="H6" s="3669"/>
      <c r="I6" s="3668" t="s">
        <v>1677</v>
      </c>
      <c r="J6" s="3669"/>
      <c r="K6" s="559" t="s">
        <v>1678</v>
      </c>
      <c r="L6" s="913"/>
      <c r="M6" s="914"/>
      <c r="N6" s="914"/>
      <c r="O6" s="914"/>
      <c r="P6" s="3660"/>
      <c r="Q6" s="3661"/>
      <c r="R6" s="3664"/>
      <c r="S6" s="3665"/>
      <c r="T6" s="3666"/>
      <c r="U6" s="3667"/>
      <c r="V6" s="3647"/>
      <c r="W6" s="3647"/>
      <c r="X6" s="1355"/>
      <c r="Y6" s="3666"/>
      <c r="Z6" s="3667"/>
      <c r="AA6" s="3651"/>
      <c r="AB6" s="3651"/>
      <c r="AC6" s="3651"/>
    </row>
    <row r="7" spans="1:29" s="108" customFormat="1" ht="15.75" thickBot="1">
      <c r="A7" s="362" t="s">
        <v>1679</v>
      </c>
      <c r="B7" s="363"/>
      <c r="C7" s="364">
        <f>'数据-取费表'!B2</f>
        <v>45029</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1680</v>
      </c>
      <c r="Q7" s="3674"/>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1683</v>
      </c>
      <c r="Q8" s="3673"/>
      <c r="R8" s="701" t="s">
        <v>14</v>
      </c>
      <c r="S8" s="702">
        <f t="shared" si="0"/>
        <v>100</v>
      </c>
      <c r="T8" s="701" t="s">
        <v>14</v>
      </c>
      <c r="U8" s="702">
        <f t="shared" si="1"/>
        <v>100</v>
      </c>
      <c r="V8" s="701" t="s">
        <v>14</v>
      </c>
      <c r="W8" s="702">
        <f t="shared" si="2"/>
        <v>100</v>
      </c>
      <c r="X8" s="703"/>
      <c r="Y8" s="3672" t="s">
        <v>1683</v>
      </c>
      <c r="Z8" s="367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33"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33"/>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33"/>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33"/>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33"/>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33"/>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0" t="s">
        <v>1691</v>
      </c>
      <c r="Q15" s="1352" t="str">
        <f t="shared" si="6"/>
        <v>产业集聚程度</v>
      </c>
      <c r="R15" s="705" t="s">
        <v>14</v>
      </c>
      <c r="S15" s="706">
        <f t="shared" si="0"/>
        <v>100</v>
      </c>
      <c r="T15" s="705" t="s">
        <v>14</v>
      </c>
      <c r="U15" s="706">
        <f t="shared" si="1"/>
        <v>100</v>
      </c>
      <c r="V15" s="705" t="s">
        <v>14</v>
      </c>
      <c r="W15" s="706">
        <f t="shared" si="2"/>
        <v>100</v>
      </c>
      <c r="X15" s="1355"/>
      <c r="Y15" s="364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1"/>
      <c r="Q16" s="1352"/>
      <c r="R16" s="705"/>
      <c r="S16" s="706"/>
      <c r="T16" s="705"/>
      <c r="U16" s="706"/>
      <c r="V16" s="705"/>
      <c r="W16" s="706"/>
      <c r="X16" s="1355"/>
      <c r="Y16" s="364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1"/>
      <c r="Q17" s="1352" t="str">
        <f>B17</f>
        <v>交通便捷度</v>
      </c>
      <c r="R17" s="705" t="s">
        <v>14</v>
      </c>
      <c r="S17" s="706">
        <f>F17</f>
        <v>100</v>
      </c>
      <c r="T17" s="705" t="s">
        <v>14</v>
      </c>
      <c r="U17" s="706">
        <f>H17</f>
        <v>100</v>
      </c>
      <c r="V17" s="705" t="s">
        <v>14</v>
      </c>
      <c r="W17" s="706">
        <f>J17</f>
        <v>100</v>
      </c>
      <c r="X17" s="1355"/>
      <c r="Y17" s="36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1"/>
      <c r="Q18" s="1352"/>
      <c r="R18" s="705"/>
      <c r="S18" s="706"/>
      <c r="T18" s="705"/>
      <c r="U18" s="706"/>
      <c r="V18" s="705"/>
      <c r="W18" s="706"/>
      <c r="X18" s="1355"/>
      <c r="Y18" s="364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1"/>
      <c r="Q19" s="1352" t="str">
        <f>B19</f>
        <v>公共配套设施</v>
      </c>
      <c r="R19" s="705" t="s">
        <v>14</v>
      </c>
      <c r="S19" s="706">
        <f>F19</f>
        <v>100</v>
      </c>
      <c r="T19" s="705" t="s">
        <v>14</v>
      </c>
      <c r="U19" s="706">
        <f>H19</f>
        <v>100</v>
      </c>
      <c r="V19" s="705" t="s">
        <v>14</v>
      </c>
      <c r="W19" s="706">
        <f>J19</f>
        <v>100</v>
      </c>
      <c r="X19" s="1355"/>
      <c r="Y19" s="36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1"/>
      <c r="Q20" s="1352"/>
      <c r="R20" s="705"/>
      <c r="S20" s="706"/>
      <c r="T20" s="705"/>
      <c r="U20" s="706"/>
      <c r="V20" s="705"/>
      <c r="W20" s="706"/>
      <c r="X20" s="1355"/>
      <c r="Y20" s="364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1"/>
      <c r="Q21" s="1352" t="str">
        <f>B21</f>
        <v>基础设施水平</v>
      </c>
      <c r="R21" s="705" t="s">
        <v>14</v>
      </c>
      <c r="S21" s="706">
        <f>F21</f>
        <v>100</v>
      </c>
      <c r="T21" s="705" t="s">
        <v>14</v>
      </c>
      <c r="U21" s="706">
        <f>H21</f>
        <v>100</v>
      </c>
      <c r="V21" s="705" t="s">
        <v>14</v>
      </c>
      <c r="W21" s="706">
        <f>J21</f>
        <v>100</v>
      </c>
      <c r="X21" s="1355"/>
      <c r="Y21" s="36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1"/>
      <c r="Q22" s="1352"/>
      <c r="R22" s="705"/>
      <c r="S22" s="706"/>
      <c r="T22" s="705"/>
      <c r="U22" s="706"/>
      <c r="V22" s="705"/>
      <c r="W22" s="706"/>
      <c r="X22" s="1355"/>
      <c r="Y22" s="364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1"/>
      <c r="Q23" s="1352" t="str">
        <f>B23</f>
        <v>环境质量</v>
      </c>
      <c r="R23" s="705" t="s">
        <v>14</v>
      </c>
      <c r="S23" s="706">
        <f>F23</f>
        <v>100</v>
      </c>
      <c r="T23" s="705" t="s">
        <v>14</v>
      </c>
      <c r="U23" s="706">
        <f>H23</f>
        <v>100</v>
      </c>
      <c r="V23" s="705" t="s">
        <v>14</v>
      </c>
      <c r="W23" s="706">
        <f>J23</f>
        <v>100</v>
      </c>
      <c r="X23" s="1355"/>
      <c r="Y23" s="364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1"/>
      <c r="Q24" s="1352"/>
      <c r="R24" s="705"/>
      <c r="S24" s="706"/>
      <c r="T24" s="705"/>
      <c r="U24" s="706"/>
      <c r="V24" s="705"/>
      <c r="W24" s="706"/>
      <c r="X24" s="1355"/>
      <c r="Y24" s="364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1"/>
      <c r="Q25" s="1352">
        <f>B25</f>
        <v>111</v>
      </c>
      <c r="R25" s="705" t="s">
        <v>14</v>
      </c>
      <c r="S25" s="706">
        <f>F25</f>
        <v>100</v>
      </c>
      <c r="T25" s="705" t="s">
        <v>14</v>
      </c>
      <c r="U25" s="706">
        <f>H25</f>
        <v>100</v>
      </c>
      <c r="V25" s="705" t="s">
        <v>14</v>
      </c>
      <c r="W25" s="706">
        <f>J25</f>
        <v>100</v>
      </c>
      <c r="X25" s="1355"/>
      <c r="Y25" s="364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1"/>
      <c r="Q26" s="1352">
        <f t="shared" ref="Q26:Q40" si="11">B26</f>
        <v>111</v>
      </c>
      <c r="R26" s="705" t="s">
        <v>14</v>
      </c>
      <c r="S26" s="706">
        <f>F26</f>
        <v>100</v>
      </c>
      <c r="T26" s="705" t="s">
        <v>14</v>
      </c>
      <c r="U26" s="706">
        <f>H26</f>
        <v>100</v>
      </c>
      <c r="V26" s="705" t="s">
        <v>14</v>
      </c>
      <c r="W26" s="706">
        <f>J26</f>
        <v>100</v>
      </c>
      <c r="X26" s="1355"/>
      <c r="Y26" s="364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1"/>
      <c r="Q27" s="1343">
        <f t="shared" si="11"/>
        <v>111</v>
      </c>
      <c r="R27" s="701" t="s">
        <v>14</v>
      </c>
      <c r="S27" s="702">
        <f>F27</f>
        <v>100</v>
      </c>
      <c r="T27" s="701" t="s">
        <v>14</v>
      </c>
      <c r="U27" s="702">
        <f>H27</f>
        <v>100</v>
      </c>
      <c r="V27" s="701" t="s">
        <v>14</v>
      </c>
      <c r="W27" s="702">
        <f>J27</f>
        <v>100</v>
      </c>
      <c r="X27" s="703"/>
      <c r="Y27" s="364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1"/>
      <c r="Q28" s="1352">
        <f t="shared" si="11"/>
        <v>111</v>
      </c>
      <c r="R28" s="705" t="s">
        <v>14</v>
      </c>
      <c r="S28" s="706">
        <f t="shared" ref="S28:S40" si="12">F28</f>
        <v>100</v>
      </c>
      <c r="T28" s="705" t="s">
        <v>14</v>
      </c>
      <c r="U28" s="706">
        <f t="shared" ref="U28:U40" si="13">H28</f>
        <v>100</v>
      </c>
      <c r="V28" s="705" t="s">
        <v>14</v>
      </c>
      <c r="W28" s="706">
        <f t="shared" ref="W28:W40" si="14">J28</f>
        <v>100</v>
      </c>
      <c r="X28" s="1355"/>
      <c r="Y28" s="364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4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45"/>
      <c r="Q30" s="707" t="str">
        <f t="shared" si="11"/>
        <v>项目建筑规模</v>
      </c>
      <c r="R30" s="708" t="s">
        <v>14</v>
      </c>
      <c r="S30" s="709" t="e">
        <f t="shared" si="12"/>
        <v>#N/A</v>
      </c>
      <c r="T30" s="708" t="s">
        <v>14</v>
      </c>
      <c r="U30" s="709" t="e">
        <f t="shared" si="13"/>
        <v>#N/A</v>
      </c>
      <c r="V30" s="708" t="s">
        <v>14</v>
      </c>
      <c r="W30" s="709" t="e">
        <f t="shared" si="14"/>
        <v>#N/A</v>
      </c>
      <c r="X30" s="710"/>
      <c r="Y30" s="364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45"/>
      <c r="Q31" s="1352" t="str">
        <f t="shared" si="11"/>
        <v>建筑结构</v>
      </c>
      <c r="R31" s="705" t="s">
        <v>14</v>
      </c>
      <c r="S31" s="706">
        <f t="shared" si="12"/>
        <v>100</v>
      </c>
      <c r="T31" s="705" t="s">
        <v>14</v>
      </c>
      <c r="U31" s="706">
        <f t="shared" si="13"/>
        <v>100</v>
      </c>
      <c r="V31" s="705" t="s">
        <v>14</v>
      </c>
      <c r="W31" s="706">
        <f t="shared" si="14"/>
        <v>100</v>
      </c>
      <c r="X31" s="1355"/>
      <c r="Y31" s="364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45"/>
      <c r="Q32" s="1352" t="str">
        <f t="shared" si="11"/>
        <v>公共部分装修</v>
      </c>
      <c r="R32" s="705" t="s">
        <v>14</v>
      </c>
      <c r="S32" s="706">
        <f t="shared" si="12"/>
        <v>100</v>
      </c>
      <c r="T32" s="705" t="s">
        <v>14</v>
      </c>
      <c r="U32" s="706">
        <f t="shared" si="13"/>
        <v>100</v>
      </c>
      <c r="V32" s="705" t="s">
        <v>14</v>
      </c>
      <c r="W32" s="706">
        <f t="shared" si="14"/>
        <v>100</v>
      </c>
      <c r="X32" s="1355"/>
      <c r="Y32" s="364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45"/>
      <c r="Q33" s="1352" t="str">
        <f t="shared" si="11"/>
        <v>成新度</v>
      </c>
      <c r="R33" s="705" t="s">
        <v>14</v>
      </c>
      <c r="S33" s="706" t="e">
        <f t="shared" si="12"/>
        <v>#N/A</v>
      </c>
      <c r="T33" s="705" t="s">
        <v>14</v>
      </c>
      <c r="U33" s="706" t="e">
        <f t="shared" si="13"/>
        <v>#N/A</v>
      </c>
      <c r="V33" s="705" t="s">
        <v>14</v>
      </c>
      <c r="W33" s="706" t="e">
        <f t="shared" si="14"/>
        <v>#N/A</v>
      </c>
      <c r="X33" s="1355"/>
      <c r="Y33" s="364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45"/>
      <c r="Q34" s="1343" t="str">
        <f t="shared" si="11"/>
        <v>物业管理</v>
      </c>
      <c r="R34" s="701" t="s">
        <v>14</v>
      </c>
      <c r="S34" s="702">
        <f t="shared" si="12"/>
        <v>100</v>
      </c>
      <c r="T34" s="701" t="s">
        <v>14</v>
      </c>
      <c r="U34" s="702">
        <f t="shared" si="13"/>
        <v>100</v>
      </c>
      <c r="V34" s="701" t="s">
        <v>14</v>
      </c>
      <c r="W34" s="702">
        <f t="shared" si="14"/>
        <v>100</v>
      </c>
      <c r="X34" s="703"/>
      <c r="Y34" s="364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45" t="s">
        <v>1696</v>
      </c>
      <c r="Q35" s="1352" t="str">
        <f t="shared" si="11"/>
        <v>市政基础设施</v>
      </c>
      <c r="R35" s="705" t="s">
        <v>14</v>
      </c>
      <c r="S35" s="706">
        <f t="shared" si="12"/>
        <v>100</v>
      </c>
      <c r="T35" s="705" t="s">
        <v>14</v>
      </c>
      <c r="U35" s="706">
        <f t="shared" si="13"/>
        <v>100</v>
      </c>
      <c r="V35" s="705" t="s">
        <v>14</v>
      </c>
      <c r="W35" s="706">
        <f t="shared" si="14"/>
        <v>100</v>
      </c>
      <c r="X35" s="1355"/>
      <c r="Y35" s="364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45"/>
      <c r="Q36" s="1352" t="str">
        <f t="shared" si="11"/>
        <v>内部装修</v>
      </c>
      <c r="R36" s="705" t="s">
        <v>14</v>
      </c>
      <c r="S36" s="706">
        <f t="shared" si="12"/>
        <v>100</v>
      </c>
      <c r="T36" s="705" t="s">
        <v>14</v>
      </c>
      <c r="U36" s="706">
        <f t="shared" si="13"/>
        <v>100</v>
      </c>
      <c r="V36" s="705" t="s">
        <v>14</v>
      </c>
      <c r="W36" s="706">
        <f t="shared" si="14"/>
        <v>100</v>
      </c>
      <c r="X36" s="1355"/>
      <c r="Y36" s="364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45"/>
      <c r="Q37" s="1352" t="str">
        <f t="shared" si="11"/>
        <v>内部装修状况</v>
      </c>
      <c r="R37" s="705" t="s">
        <v>14</v>
      </c>
      <c r="S37" s="706">
        <f t="shared" si="12"/>
        <v>100</v>
      </c>
      <c r="T37" s="705" t="s">
        <v>14</v>
      </c>
      <c r="U37" s="706">
        <f t="shared" si="13"/>
        <v>100</v>
      </c>
      <c r="V37" s="705" t="s">
        <v>14</v>
      </c>
      <c r="W37" s="706">
        <f t="shared" si="14"/>
        <v>100</v>
      </c>
      <c r="X37" s="1355"/>
      <c r="Y37" s="364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45"/>
      <c r="Q38" s="707">
        <f t="shared" si="11"/>
        <v>111</v>
      </c>
      <c r="R38" s="708" t="s">
        <v>14</v>
      </c>
      <c r="S38" s="709">
        <f t="shared" si="12"/>
        <v>100</v>
      </c>
      <c r="T38" s="708" t="s">
        <v>14</v>
      </c>
      <c r="U38" s="709">
        <f t="shared" si="13"/>
        <v>100</v>
      </c>
      <c r="V38" s="708" t="s">
        <v>14</v>
      </c>
      <c r="W38" s="709">
        <f t="shared" si="14"/>
        <v>100</v>
      </c>
      <c r="X38" s="710"/>
      <c r="Y38" s="364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45"/>
      <c r="Q39" s="1352">
        <f t="shared" si="11"/>
        <v>111</v>
      </c>
      <c r="R39" s="705" t="s">
        <v>14</v>
      </c>
      <c r="S39" s="706">
        <f t="shared" si="12"/>
        <v>100</v>
      </c>
      <c r="T39" s="705" t="s">
        <v>14</v>
      </c>
      <c r="U39" s="706">
        <f t="shared" si="13"/>
        <v>100</v>
      </c>
      <c r="V39" s="705" t="s">
        <v>14</v>
      </c>
      <c r="W39" s="706">
        <f t="shared" si="14"/>
        <v>100</v>
      </c>
      <c r="X39" s="1355"/>
      <c r="Y39" s="364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46"/>
      <c r="Q40" s="1352">
        <f t="shared" si="11"/>
        <v>111</v>
      </c>
      <c r="R40" s="705" t="s">
        <v>14</v>
      </c>
      <c r="S40" s="706">
        <f t="shared" si="12"/>
        <v>100</v>
      </c>
      <c r="T40" s="705" t="s">
        <v>14</v>
      </c>
      <c r="U40" s="706">
        <f t="shared" si="13"/>
        <v>100</v>
      </c>
      <c r="V40" s="705" t="s">
        <v>14</v>
      </c>
      <c r="W40" s="706">
        <f t="shared" si="14"/>
        <v>100</v>
      </c>
      <c r="X40" s="1355"/>
      <c r="Y40" s="364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33" t="str">
        <f>A41</f>
        <v>成交单价（元/平方米）</v>
      </c>
      <c r="Q41" s="3633"/>
      <c r="R41" s="3634">
        <f>E41</f>
        <v>0</v>
      </c>
      <c r="S41" s="3634"/>
      <c r="T41" s="3634">
        <f>G41</f>
        <v>0</v>
      </c>
      <c r="U41" s="3634"/>
      <c r="V41" s="3634">
        <f>I41</f>
        <v>0</v>
      </c>
      <c r="W41" s="363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33" t="str">
        <f>A42</f>
        <v>比较价值（元/平方米）</v>
      </c>
      <c r="Q42" s="3633"/>
      <c r="R42" s="3634" t="e">
        <f>IF(F1="售价",ROUND(PRODUCT(R41,AA7:AA40),0),ROUND(PRODUCT(R41,AA7:AA40),1))</f>
        <v>#DIV/0!</v>
      </c>
      <c r="S42" s="3634"/>
      <c r="T42" s="3634" t="e">
        <f>IF(F1="售价",ROUND(PRODUCT(T41,AB7:AB40),0),ROUND(PRODUCT(T41,AB7:AB40),1))</f>
        <v>#DIV/0!</v>
      </c>
      <c r="U42" s="3634"/>
      <c r="V42" s="3634" t="e">
        <f>IF(F1="售价",ROUND(PRODUCT(V41,AC7:AC40),0),ROUND(PRODUCT(V41,AC7:AC40),1))</f>
        <v>#DIV/0!</v>
      </c>
      <c r="W42" s="363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35" t="str">
        <f>A43</f>
        <v>估价对象XX用房的比较价值（楼面单价，元/平方米）</v>
      </c>
      <c r="Q43" s="3636"/>
      <c r="R43" s="3637" t="e">
        <f>IF(F1="售价",ROUND(IF(D42="简单平均",AVERAGE(R42:V42),R42*F42+T42*H42+V42*J42),0),ROUND(IF(D42="简单平均",AVERAGE(R42:V42),R42*F42+T42*H42+V42*J42),1))</f>
        <v>#DIV/0!</v>
      </c>
      <c r="S43" s="3637"/>
      <c r="T43" s="3637"/>
      <c r="U43" s="3637"/>
      <c r="V43" s="3637"/>
      <c r="W43" s="363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估价对象为房地产，为所有。根据《国有土地使用证》[]，估价对象（分摊）出让国有建设用地使用权面积为0平方米，建筑面积为155.06平方米。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估价对象为房地产,属开发建设的，该项目尚在开发建设中。根据《国有土地使用证》[]，估价对象（分摊）出让国有建设用地使用权面积为0平方米，规划建筑面积为155.06平方米。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52" t="s">
        <v>1770</v>
      </c>
      <c r="D4" s="3653"/>
      <c r="E4" s="3654" t="s">
        <v>1771</v>
      </c>
      <c r="F4" s="3655"/>
      <c r="G4" s="3652" t="s">
        <v>1772</v>
      </c>
      <c r="H4" s="3653"/>
      <c r="I4" s="3652" t="s">
        <v>1773</v>
      </c>
      <c r="J4" s="3653"/>
      <c r="K4" s="559" t="s">
        <v>1774</v>
      </c>
      <c r="L4" s="2715"/>
      <c r="M4" s="2716"/>
      <c r="N4" s="2716"/>
      <c r="O4" s="2716"/>
      <c r="P4" s="3656" t="s">
        <v>1775</v>
      </c>
      <c r="Q4" s="3657"/>
      <c r="R4" s="3662" t="s">
        <v>1771</v>
      </c>
      <c r="S4" s="3663"/>
      <c r="T4" s="3662" t="s">
        <v>1772</v>
      </c>
      <c r="U4" s="3663"/>
      <c r="V4" s="3647" t="s">
        <v>1773</v>
      </c>
      <c r="W4" s="3647"/>
      <c r="X4" s="1355"/>
      <c r="Y4" s="3662" t="s">
        <v>1775</v>
      </c>
      <c r="Z4" s="3663"/>
      <c r="AA4" s="3649" t="s">
        <v>1771</v>
      </c>
      <c r="AB4" s="3650" t="s">
        <v>1772</v>
      </c>
      <c r="AC4" s="3649" t="s">
        <v>1773</v>
      </c>
    </row>
    <row r="5" spans="1:29" ht="15">
      <c r="A5" s="358"/>
      <c r="B5" s="359"/>
      <c r="C5" s="3670" t="s">
        <v>1673</v>
      </c>
      <c r="D5" s="3671"/>
      <c r="E5" s="3677" t="s">
        <v>1674</v>
      </c>
      <c r="F5" s="3678"/>
      <c r="G5" s="3670" t="s">
        <v>1675</v>
      </c>
      <c r="H5" s="3671"/>
      <c r="I5" s="3670" t="s">
        <v>1676</v>
      </c>
      <c r="J5" s="3671"/>
      <c r="K5" s="559"/>
      <c r="L5" s="2715"/>
      <c r="M5" s="2716"/>
      <c r="N5" s="2716"/>
      <c r="O5" s="2716"/>
      <c r="P5" s="3658"/>
      <c r="Q5" s="3659"/>
      <c r="R5" s="3664"/>
      <c r="S5" s="3665"/>
      <c r="T5" s="3664"/>
      <c r="U5" s="3665"/>
      <c r="V5" s="3647"/>
      <c r="W5" s="3647"/>
      <c r="X5" s="1355"/>
      <c r="Y5" s="3664"/>
      <c r="Z5" s="3665"/>
      <c r="AA5" s="3650"/>
      <c r="AB5" s="3650"/>
      <c r="AC5" s="3650"/>
    </row>
    <row r="6" spans="1:29" ht="15.75" thickBot="1">
      <c r="A6" s="360"/>
      <c r="B6" s="361"/>
      <c r="C6" s="3668" t="s">
        <v>1677</v>
      </c>
      <c r="D6" s="3669"/>
      <c r="E6" s="3675" t="s">
        <v>1677</v>
      </c>
      <c r="F6" s="3676"/>
      <c r="G6" s="3668" t="s">
        <v>1677</v>
      </c>
      <c r="H6" s="3669"/>
      <c r="I6" s="3668" t="s">
        <v>1677</v>
      </c>
      <c r="J6" s="3669"/>
      <c r="K6" s="559" t="s">
        <v>1678</v>
      </c>
      <c r="L6" s="2715"/>
      <c r="M6" s="2716"/>
      <c r="N6" s="2716"/>
      <c r="O6" s="2716"/>
      <c r="P6" s="3660"/>
      <c r="Q6" s="3661"/>
      <c r="R6" s="3664"/>
      <c r="S6" s="3665"/>
      <c r="T6" s="3666"/>
      <c r="U6" s="3667"/>
      <c r="V6" s="3647"/>
      <c r="W6" s="3647"/>
      <c r="X6" s="1355"/>
      <c r="Y6" s="3666"/>
      <c r="Z6" s="3667"/>
      <c r="AA6" s="3651"/>
      <c r="AB6" s="3651"/>
      <c r="AC6" s="3651"/>
    </row>
    <row r="7" spans="1:29" s="108" customFormat="1" ht="15.75" thickBot="1">
      <c r="A7" s="362" t="s">
        <v>1679</v>
      </c>
      <c r="B7" s="363"/>
      <c r="C7" s="364">
        <f>'数据-取费表'!B2</f>
        <v>45029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2" t="s">
        <v>1680</v>
      </c>
      <c r="Q7" s="3674"/>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33"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33"/>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33"/>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33"/>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33"/>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40" t="s">
        <v>1691</v>
      </c>
      <c r="Q14" s="1352" t="str">
        <f t="shared" si="6"/>
        <v>交通便捷度</v>
      </c>
      <c r="R14" s="705" t="s">
        <v>14</v>
      </c>
      <c r="S14" s="706">
        <f t="shared" si="0"/>
        <v>100</v>
      </c>
      <c r="T14" s="705" t="s">
        <v>14</v>
      </c>
      <c r="U14" s="706">
        <f t="shared" si="1"/>
        <v>100</v>
      </c>
      <c r="V14" s="705" t="s">
        <v>14</v>
      </c>
      <c r="W14" s="706">
        <f t="shared" si="2"/>
        <v>100</v>
      </c>
      <c r="X14" s="1355"/>
      <c r="Y14" s="364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41"/>
      <c r="Q15" s="1352"/>
      <c r="R15" s="705"/>
      <c r="S15" s="706"/>
      <c r="T15" s="705"/>
      <c r="U15" s="706"/>
      <c r="V15" s="705"/>
      <c r="W15" s="706"/>
      <c r="X15" s="1355"/>
      <c r="Y15" s="364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41"/>
      <c r="Q16" s="1352" t="str">
        <f>B16</f>
        <v>公共配套设施</v>
      </c>
      <c r="R16" s="705" t="s">
        <v>14</v>
      </c>
      <c r="S16" s="706">
        <f>F16</f>
        <v>100</v>
      </c>
      <c r="T16" s="705" t="s">
        <v>14</v>
      </c>
      <c r="U16" s="706">
        <f>H16</f>
        <v>100</v>
      </c>
      <c r="V16" s="705" t="s">
        <v>14</v>
      </c>
      <c r="W16" s="706">
        <f>J16</f>
        <v>100</v>
      </c>
      <c r="X16" s="1355"/>
      <c r="Y16" s="364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41"/>
      <c r="Q17" s="1352"/>
      <c r="R17" s="705"/>
      <c r="S17" s="706"/>
      <c r="T17" s="705"/>
      <c r="U17" s="706"/>
      <c r="V17" s="705"/>
      <c r="W17" s="706"/>
      <c r="X17" s="1355"/>
      <c r="Y17" s="364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41"/>
      <c r="Q18" s="1352" t="str">
        <f>B18</f>
        <v>基础设施水平</v>
      </c>
      <c r="R18" s="705" t="s">
        <v>14</v>
      </c>
      <c r="S18" s="706">
        <f>F18</f>
        <v>100</v>
      </c>
      <c r="T18" s="705" t="s">
        <v>14</v>
      </c>
      <c r="U18" s="706">
        <f>H18</f>
        <v>100</v>
      </c>
      <c r="V18" s="705" t="s">
        <v>14</v>
      </c>
      <c r="W18" s="706">
        <f>J18</f>
        <v>100</v>
      </c>
      <c r="X18" s="1355"/>
      <c r="Y18" s="364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41"/>
      <c r="Q19" s="1352"/>
      <c r="R19" s="705"/>
      <c r="S19" s="706"/>
      <c r="T19" s="705"/>
      <c r="U19" s="706"/>
      <c r="V19" s="705"/>
      <c r="W19" s="706"/>
      <c r="X19" s="1355"/>
      <c r="Y19" s="364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41"/>
      <c r="Q20" s="1352" t="str">
        <f>B20</f>
        <v>自然及人文环境</v>
      </c>
      <c r="R20" s="705" t="s">
        <v>14</v>
      </c>
      <c r="S20" s="706">
        <f>F20</f>
        <v>100</v>
      </c>
      <c r="T20" s="705" t="s">
        <v>14</v>
      </c>
      <c r="U20" s="706">
        <f>H20</f>
        <v>100</v>
      </c>
      <c r="V20" s="705" t="s">
        <v>14</v>
      </c>
      <c r="W20" s="706">
        <f>J20</f>
        <v>100</v>
      </c>
      <c r="X20" s="1355"/>
      <c r="Y20" s="364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41"/>
      <c r="Q21" s="1352"/>
      <c r="R21" s="705"/>
      <c r="S21" s="706"/>
      <c r="T21" s="705"/>
      <c r="U21" s="706"/>
      <c r="V21" s="705"/>
      <c r="W21" s="706"/>
      <c r="X21" s="1355"/>
      <c r="Y21" s="364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41"/>
      <c r="Q22" s="1352" t="str">
        <f>B22</f>
        <v>楼层</v>
      </c>
      <c r="R22" s="705" t="s">
        <v>14</v>
      </c>
      <c r="S22" s="706">
        <f>F22</f>
        <v>100</v>
      </c>
      <c r="T22" s="705" t="s">
        <v>14</v>
      </c>
      <c r="U22" s="706">
        <f>H22</f>
        <v>100</v>
      </c>
      <c r="V22" s="705" t="s">
        <v>14</v>
      </c>
      <c r="W22" s="706">
        <f>J22</f>
        <v>100</v>
      </c>
      <c r="X22" s="1355"/>
      <c r="Y22" s="364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41"/>
      <c r="Q23" s="1352">
        <f>B23</f>
        <v>111</v>
      </c>
      <c r="R23" s="705" t="s">
        <v>14</v>
      </c>
      <c r="S23" s="706">
        <f>F23</f>
        <v>100</v>
      </c>
      <c r="T23" s="705" t="s">
        <v>14</v>
      </c>
      <c r="U23" s="706">
        <f>H23</f>
        <v>100</v>
      </c>
      <c r="V23" s="705" t="s">
        <v>14</v>
      </c>
      <c r="W23" s="706">
        <f>J23</f>
        <v>100</v>
      </c>
      <c r="X23" s="1355"/>
      <c r="Y23" s="364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41"/>
      <c r="Q24" s="1352">
        <f t="shared" ref="Q24:Q36" si="11">B24</f>
        <v>111</v>
      </c>
      <c r="R24" s="705" t="s">
        <v>14</v>
      </c>
      <c r="S24" s="706">
        <f>F24</f>
        <v>100</v>
      </c>
      <c r="T24" s="705" t="s">
        <v>14</v>
      </c>
      <c r="U24" s="706">
        <f>H24</f>
        <v>100</v>
      </c>
      <c r="V24" s="705" t="s">
        <v>14</v>
      </c>
      <c r="W24" s="706">
        <f>J24</f>
        <v>100</v>
      </c>
      <c r="X24" s="1355"/>
      <c r="Y24" s="364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41"/>
      <c r="Q25" s="1343">
        <f t="shared" si="11"/>
        <v>111</v>
      </c>
      <c r="R25" s="701" t="s">
        <v>14</v>
      </c>
      <c r="S25" s="702">
        <f>F25</f>
        <v>100</v>
      </c>
      <c r="T25" s="701" t="s">
        <v>14</v>
      </c>
      <c r="U25" s="702">
        <f>H25</f>
        <v>100</v>
      </c>
      <c r="V25" s="701" t="s">
        <v>14</v>
      </c>
      <c r="W25" s="702">
        <f>J25</f>
        <v>100</v>
      </c>
      <c r="X25" s="703"/>
      <c r="Y25" s="364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4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45"/>
      <c r="Q27" s="707" t="str">
        <f t="shared" si="11"/>
        <v>项目停车位配比</v>
      </c>
      <c r="R27" s="708" t="s">
        <v>14</v>
      </c>
      <c r="S27" s="709">
        <f t="shared" si="12"/>
        <v>100</v>
      </c>
      <c r="T27" s="708" t="s">
        <v>14</v>
      </c>
      <c r="U27" s="709">
        <f t="shared" si="13"/>
        <v>100</v>
      </c>
      <c r="V27" s="708" t="s">
        <v>14</v>
      </c>
      <c r="W27" s="709">
        <f t="shared" si="14"/>
        <v>100</v>
      </c>
      <c r="X27" s="710"/>
      <c r="Y27" s="364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45"/>
      <c r="Q28" s="1352" t="str">
        <f t="shared" si="11"/>
        <v>公共部分装修</v>
      </c>
      <c r="R28" s="705" t="s">
        <v>14</v>
      </c>
      <c r="S28" s="706">
        <f t="shared" si="12"/>
        <v>100</v>
      </c>
      <c r="T28" s="705" t="s">
        <v>14</v>
      </c>
      <c r="U28" s="706">
        <f t="shared" si="13"/>
        <v>100</v>
      </c>
      <c r="V28" s="705" t="s">
        <v>14</v>
      </c>
      <c r="W28" s="706">
        <f t="shared" si="14"/>
        <v>100</v>
      </c>
      <c r="X28" s="1355"/>
      <c r="Y28" s="364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45"/>
      <c r="Q29" s="1352" t="str">
        <f t="shared" si="11"/>
        <v>成新率</v>
      </c>
      <c r="R29" s="705" t="s">
        <v>14</v>
      </c>
      <c r="S29" s="706" t="e">
        <f t="shared" si="12"/>
        <v>#N/A</v>
      </c>
      <c r="T29" s="705" t="s">
        <v>14</v>
      </c>
      <c r="U29" s="706" t="e">
        <f t="shared" si="13"/>
        <v>#N/A</v>
      </c>
      <c r="V29" s="705" t="s">
        <v>14</v>
      </c>
      <c r="W29" s="706" t="e">
        <f t="shared" si="14"/>
        <v>#N/A</v>
      </c>
      <c r="X29" s="1355"/>
      <c r="Y29" s="364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45"/>
      <c r="Q30" s="1352" t="str">
        <f t="shared" si="11"/>
        <v>物业等级</v>
      </c>
      <c r="R30" s="705" t="s">
        <v>14</v>
      </c>
      <c r="S30" s="706">
        <f t="shared" si="12"/>
        <v>100</v>
      </c>
      <c r="T30" s="705" t="s">
        <v>14</v>
      </c>
      <c r="U30" s="706">
        <f t="shared" si="13"/>
        <v>100</v>
      </c>
      <c r="V30" s="705" t="s">
        <v>14</v>
      </c>
      <c r="W30" s="706">
        <f t="shared" si="14"/>
        <v>100</v>
      </c>
      <c r="X30" s="1355"/>
      <c r="Y30" s="364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45"/>
      <c r="Q31" s="1343" t="str">
        <f t="shared" si="11"/>
        <v>停车位面积</v>
      </c>
      <c r="R31" s="701" t="s">
        <v>14</v>
      </c>
      <c r="S31" s="702" t="e">
        <f t="shared" si="12"/>
        <v>#N/A</v>
      </c>
      <c r="T31" s="701" t="s">
        <v>14</v>
      </c>
      <c r="U31" s="702" t="e">
        <f t="shared" si="13"/>
        <v>#N/A</v>
      </c>
      <c r="V31" s="701" t="s">
        <v>14</v>
      </c>
      <c r="W31" s="702" t="e">
        <f t="shared" si="14"/>
        <v>#N/A</v>
      </c>
      <c r="X31" s="703"/>
      <c r="Y31" s="364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45" t="s">
        <v>1696</v>
      </c>
      <c r="Q32" s="1352" t="str">
        <f t="shared" si="11"/>
        <v>车位类型</v>
      </c>
      <c r="R32" s="705" t="s">
        <v>14</v>
      </c>
      <c r="S32" s="706">
        <f t="shared" si="12"/>
        <v>100</v>
      </c>
      <c r="T32" s="705" t="s">
        <v>14</v>
      </c>
      <c r="U32" s="706">
        <f t="shared" si="13"/>
        <v>100</v>
      </c>
      <c r="V32" s="705" t="s">
        <v>14</v>
      </c>
      <c r="W32" s="706">
        <f t="shared" si="14"/>
        <v>100</v>
      </c>
      <c r="X32" s="1355"/>
      <c r="Y32" s="364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45"/>
      <c r="Q33" s="1352" t="str">
        <f t="shared" si="11"/>
        <v>是否直接入户</v>
      </c>
      <c r="R33" s="705" t="s">
        <v>14</v>
      </c>
      <c r="S33" s="706">
        <f t="shared" si="12"/>
        <v>100</v>
      </c>
      <c r="T33" s="705" t="s">
        <v>14</v>
      </c>
      <c r="U33" s="706">
        <f t="shared" si="13"/>
        <v>100</v>
      </c>
      <c r="V33" s="705" t="s">
        <v>14</v>
      </c>
      <c r="W33" s="706">
        <f t="shared" si="14"/>
        <v>100</v>
      </c>
      <c r="X33" s="1355"/>
      <c r="Y33" s="364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45"/>
      <c r="Q34" s="1352">
        <f t="shared" si="11"/>
        <v>111</v>
      </c>
      <c r="R34" s="705" t="s">
        <v>14</v>
      </c>
      <c r="S34" s="706">
        <f t="shared" si="12"/>
        <v>100</v>
      </c>
      <c r="T34" s="705" t="s">
        <v>14</v>
      </c>
      <c r="U34" s="706">
        <f t="shared" si="13"/>
        <v>100</v>
      </c>
      <c r="V34" s="705" t="s">
        <v>14</v>
      </c>
      <c r="W34" s="706">
        <f t="shared" si="14"/>
        <v>100</v>
      </c>
      <c r="X34" s="1355"/>
      <c r="Y34" s="364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45"/>
      <c r="Q35" s="707">
        <f t="shared" si="11"/>
        <v>111</v>
      </c>
      <c r="R35" s="708" t="s">
        <v>14</v>
      </c>
      <c r="S35" s="709">
        <f t="shared" si="12"/>
        <v>100</v>
      </c>
      <c r="T35" s="708" t="s">
        <v>14</v>
      </c>
      <c r="U35" s="709">
        <f t="shared" si="13"/>
        <v>100</v>
      </c>
      <c r="V35" s="708" t="s">
        <v>14</v>
      </c>
      <c r="W35" s="709">
        <f t="shared" si="14"/>
        <v>100</v>
      </c>
      <c r="X35" s="710"/>
      <c r="Y35" s="364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45"/>
      <c r="Q36" s="1352">
        <f t="shared" si="11"/>
        <v>111</v>
      </c>
      <c r="R36" s="705" t="s">
        <v>14</v>
      </c>
      <c r="S36" s="706">
        <f t="shared" si="12"/>
        <v>100</v>
      </c>
      <c r="T36" s="705" t="s">
        <v>14</v>
      </c>
      <c r="U36" s="706">
        <f t="shared" si="13"/>
        <v>100</v>
      </c>
      <c r="V36" s="705" t="s">
        <v>14</v>
      </c>
      <c r="W36" s="706">
        <f t="shared" si="14"/>
        <v>100</v>
      </c>
      <c r="X36" s="1355"/>
      <c r="Y36" s="3645"/>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33" t="str">
        <f>A37</f>
        <v>成交单价</v>
      </c>
      <c r="Q37" s="3633"/>
      <c r="R37" s="3634">
        <f>E37</f>
        <v>0</v>
      </c>
      <c r="S37" s="3634"/>
      <c r="T37" s="3634">
        <f>G37</f>
        <v>0</v>
      </c>
      <c r="U37" s="3634"/>
      <c r="V37" s="3634">
        <f>I37</f>
        <v>0</v>
      </c>
      <c r="W37" s="363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33" t="str">
        <f>A38</f>
        <v>比较价值（元/平方米）</v>
      </c>
      <c r="Q38" s="3633"/>
      <c r="R38" s="3634" t="e">
        <f>IF(F1="售价",ROUND(PRODUCT(R37,AA7:AA36),0),ROUND(PRODUCT(R37,AA7:AA36),1))</f>
        <v>#DIV/0!</v>
      </c>
      <c r="S38" s="3634"/>
      <c r="T38" s="3634" t="e">
        <f>IF(F1="售价",ROUND(PRODUCT(T37,AB7:AB36),0),ROUND(PRODUCT(T37,AB7:AB36),1))</f>
        <v>#DIV/0!</v>
      </c>
      <c r="U38" s="3634"/>
      <c r="V38" s="3634" t="e">
        <f>IF(F1="售价",ROUND(PRODUCT(V37,AC7:AC36),0),ROUND(PRODUCT(V37,AC7:AC36),1))</f>
        <v>#DIV/0!</v>
      </c>
      <c r="W38" s="363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35" t="str">
        <f>A39</f>
        <v>估价对象XX用房的比较价值（楼面单价，元/平方米）</v>
      </c>
      <c r="Q39" s="3636"/>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2" t="s">
        <v>1770</v>
      </c>
      <c r="D4" s="3653"/>
      <c r="E4" s="3654" t="s">
        <v>1771</v>
      </c>
      <c r="F4" s="3655"/>
      <c r="G4" s="3652" t="s">
        <v>1772</v>
      </c>
      <c r="H4" s="3653"/>
      <c r="I4" s="3652" t="s">
        <v>1773</v>
      </c>
      <c r="J4" s="3653"/>
      <c r="K4" s="559" t="s">
        <v>1774</v>
      </c>
      <c r="L4" s="2715"/>
      <c r="M4" s="2716"/>
      <c r="N4" s="2716"/>
      <c r="O4" s="2716"/>
      <c r="P4" s="3656" t="s">
        <v>1775</v>
      </c>
      <c r="Q4" s="3657"/>
      <c r="R4" s="3662" t="s">
        <v>1771</v>
      </c>
      <c r="S4" s="3663"/>
      <c r="T4" s="3662" t="s">
        <v>1772</v>
      </c>
      <c r="U4" s="3663"/>
      <c r="V4" s="3647" t="s">
        <v>1773</v>
      </c>
      <c r="W4" s="3647"/>
      <c r="X4" s="1355"/>
      <c r="Y4" s="3662" t="s">
        <v>1775</v>
      </c>
      <c r="Z4" s="3663"/>
      <c r="AA4" s="3649" t="s">
        <v>1771</v>
      </c>
      <c r="AB4" s="3650" t="s">
        <v>1772</v>
      </c>
      <c r="AC4" s="3649" t="s">
        <v>1773</v>
      </c>
    </row>
    <row r="5" spans="1:29" ht="15">
      <c r="A5" s="358"/>
      <c r="B5" s="359"/>
      <c r="C5" s="3670" t="s">
        <v>1673</v>
      </c>
      <c r="D5" s="3671"/>
      <c r="E5" s="3677" t="s">
        <v>1674</v>
      </c>
      <c r="F5" s="3678"/>
      <c r="G5" s="3670" t="s">
        <v>1675</v>
      </c>
      <c r="H5" s="3671"/>
      <c r="I5" s="3670" t="s">
        <v>1676</v>
      </c>
      <c r="J5" s="3671"/>
      <c r="K5" s="559"/>
      <c r="L5" s="2715"/>
      <c r="M5" s="2716"/>
      <c r="N5" s="2716"/>
      <c r="O5" s="2716"/>
      <c r="P5" s="3658"/>
      <c r="Q5" s="3659"/>
      <c r="R5" s="3664"/>
      <c r="S5" s="3665"/>
      <c r="T5" s="3664"/>
      <c r="U5" s="3665"/>
      <c r="V5" s="3647"/>
      <c r="W5" s="3647"/>
      <c r="X5" s="1355"/>
      <c r="Y5" s="3664"/>
      <c r="Z5" s="3665"/>
      <c r="AA5" s="3650"/>
      <c r="AB5" s="3650"/>
      <c r="AC5" s="3650"/>
    </row>
    <row r="6" spans="1:29" ht="15.75" thickBot="1">
      <c r="A6" s="360"/>
      <c r="B6" s="361"/>
      <c r="C6" s="3668" t="s">
        <v>1677</v>
      </c>
      <c r="D6" s="3669"/>
      <c r="E6" s="3675" t="s">
        <v>1677</v>
      </c>
      <c r="F6" s="3676"/>
      <c r="G6" s="3668" t="s">
        <v>1677</v>
      </c>
      <c r="H6" s="3669"/>
      <c r="I6" s="3668" t="s">
        <v>1677</v>
      </c>
      <c r="J6" s="3669"/>
      <c r="K6" s="559" t="s">
        <v>1678</v>
      </c>
      <c r="L6" s="2715"/>
      <c r="M6" s="2716"/>
      <c r="N6" s="2716"/>
      <c r="O6" s="2716"/>
      <c r="P6" s="3660"/>
      <c r="Q6" s="3661"/>
      <c r="R6" s="3664"/>
      <c r="S6" s="3665"/>
      <c r="T6" s="3666"/>
      <c r="U6" s="3667"/>
      <c r="V6" s="3647"/>
      <c r="W6" s="3647"/>
      <c r="X6" s="1355"/>
      <c r="Y6" s="3666"/>
      <c r="Z6" s="3667"/>
      <c r="AA6" s="3651"/>
      <c r="AB6" s="3651"/>
      <c r="AC6" s="3651"/>
    </row>
    <row r="7" spans="1:29" s="108" customFormat="1" ht="15.75" thickBot="1">
      <c r="A7" s="362" t="s">
        <v>1679</v>
      </c>
      <c r="B7" s="363"/>
      <c r="C7" s="364">
        <f>'数据-取费表'!B2</f>
        <v>45029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2" t="s">
        <v>1680</v>
      </c>
      <c r="Q7" s="3674"/>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33"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33"/>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33"/>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33"/>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33"/>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40" t="s">
        <v>1691</v>
      </c>
      <c r="Q14" s="1352" t="str">
        <f t="shared" si="6"/>
        <v>交通便捷度</v>
      </c>
      <c r="R14" s="705" t="s">
        <v>14</v>
      </c>
      <c r="S14" s="706">
        <f t="shared" si="0"/>
        <v>100</v>
      </c>
      <c r="T14" s="705" t="s">
        <v>14</v>
      </c>
      <c r="U14" s="706">
        <f t="shared" si="1"/>
        <v>100</v>
      </c>
      <c r="V14" s="705" t="s">
        <v>14</v>
      </c>
      <c r="W14" s="706">
        <f t="shared" si="2"/>
        <v>100</v>
      </c>
      <c r="X14" s="1355"/>
      <c r="Y14" s="364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41"/>
      <c r="Q15" s="1352"/>
      <c r="R15" s="705"/>
      <c r="S15" s="706"/>
      <c r="T15" s="705"/>
      <c r="U15" s="706"/>
      <c r="V15" s="705"/>
      <c r="W15" s="706"/>
      <c r="X15" s="1355"/>
      <c r="Y15" s="364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41"/>
      <c r="Q16" s="1352" t="str">
        <f>B16</f>
        <v>公共配套设施</v>
      </c>
      <c r="R16" s="705" t="s">
        <v>14</v>
      </c>
      <c r="S16" s="706">
        <f>F16</f>
        <v>100</v>
      </c>
      <c r="T16" s="705" t="s">
        <v>14</v>
      </c>
      <c r="U16" s="706">
        <f>H16</f>
        <v>100</v>
      </c>
      <c r="V16" s="705" t="s">
        <v>14</v>
      </c>
      <c r="W16" s="706">
        <f>J16</f>
        <v>100</v>
      </c>
      <c r="X16" s="1355"/>
      <c r="Y16" s="364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41"/>
      <c r="Q17" s="1352"/>
      <c r="R17" s="705"/>
      <c r="S17" s="706"/>
      <c r="T17" s="705"/>
      <c r="U17" s="706"/>
      <c r="V17" s="705"/>
      <c r="W17" s="706"/>
      <c r="X17" s="1355"/>
      <c r="Y17" s="364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41"/>
      <c r="Q18" s="1352" t="str">
        <f>B18</f>
        <v>基础设施水平</v>
      </c>
      <c r="R18" s="705" t="s">
        <v>14</v>
      </c>
      <c r="S18" s="706">
        <f>F18</f>
        <v>100</v>
      </c>
      <c r="T18" s="705" t="s">
        <v>14</v>
      </c>
      <c r="U18" s="706">
        <f>H18</f>
        <v>100</v>
      </c>
      <c r="V18" s="705" t="s">
        <v>14</v>
      </c>
      <c r="W18" s="706">
        <f>J18</f>
        <v>100</v>
      </c>
      <c r="X18" s="1355"/>
      <c r="Y18" s="364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41"/>
      <c r="Q19" s="1352"/>
      <c r="R19" s="705"/>
      <c r="S19" s="706"/>
      <c r="T19" s="705"/>
      <c r="U19" s="706"/>
      <c r="V19" s="705"/>
      <c r="W19" s="706"/>
      <c r="X19" s="1355"/>
      <c r="Y19" s="364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41"/>
      <c r="Q20" s="1352" t="str">
        <f>B20</f>
        <v>自然及人文环境</v>
      </c>
      <c r="R20" s="705" t="s">
        <v>14</v>
      </c>
      <c r="S20" s="706">
        <f>F20</f>
        <v>100</v>
      </c>
      <c r="T20" s="705" t="s">
        <v>14</v>
      </c>
      <c r="U20" s="706">
        <f>H20</f>
        <v>100</v>
      </c>
      <c r="V20" s="705" t="s">
        <v>14</v>
      </c>
      <c r="W20" s="706">
        <f>J20</f>
        <v>100</v>
      </c>
      <c r="X20" s="1355"/>
      <c r="Y20" s="364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41"/>
      <c r="Q21" s="1352"/>
      <c r="R21" s="705"/>
      <c r="S21" s="706"/>
      <c r="T21" s="705"/>
      <c r="U21" s="706"/>
      <c r="V21" s="705"/>
      <c r="W21" s="706"/>
      <c r="X21" s="1355"/>
      <c r="Y21" s="364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41"/>
      <c r="Q22" s="1352" t="str">
        <f>B22</f>
        <v>楼层</v>
      </c>
      <c r="R22" s="705" t="s">
        <v>14</v>
      </c>
      <c r="S22" s="706">
        <f>F22</f>
        <v>100</v>
      </c>
      <c r="T22" s="705" t="s">
        <v>14</v>
      </c>
      <c r="U22" s="706">
        <f>H22</f>
        <v>100</v>
      </c>
      <c r="V22" s="705" t="s">
        <v>14</v>
      </c>
      <c r="W22" s="706">
        <f>J22</f>
        <v>100</v>
      </c>
      <c r="X22" s="1355"/>
      <c r="Y22" s="364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41"/>
      <c r="Q23" s="1352">
        <f>B23</f>
        <v>111</v>
      </c>
      <c r="R23" s="705" t="s">
        <v>14</v>
      </c>
      <c r="S23" s="706">
        <f>F23</f>
        <v>100</v>
      </c>
      <c r="T23" s="705" t="s">
        <v>14</v>
      </c>
      <c r="U23" s="706">
        <f>H23</f>
        <v>100</v>
      </c>
      <c r="V23" s="705" t="s">
        <v>14</v>
      </c>
      <c r="W23" s="706">
        <f>J23</f>
        <v>100</v>
      </c>
      <c r="X23" s="1355"/>
      <c r="Y23" s="364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41"/>
      <c r="Q24" s="1352">
        <f t="shared" ref="Q24:Q34" si="11">B24</f>
        <v>111</v>
      </c>
      <c r="R24" s="705" t="s">
        <v>14</v>
      </c>
      <c r="S24" s="706">
        <f>F24</f>
        <v>100</v>
      </c>
      <c r="T24" s="705" t="s">
        <v>14</v>
      </c>
      <c r="U24" s="706">
        <f>H24</f>
        <v>100</v>
      </c>
      <c r="V24" s="705" t="s">
        <v>14</v>
      </c>
      <c r="W24" s="706">
        <f>J24</f>
        <v>100</v>
      </c>
      <c r="X24" s="1355"/>
      <c r="Y24" s="364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41"/>
      <c r="Q25" s="1343">
        <f t="shared" si="11"/>
        <v>111</v>
      </c>
      <c r="R25" s="701" t="s">
        <v>14</v>
      </c>
      <c r="S25" s="702">
        <f>F25</f>
        <v>100</v>
      </c>
      <c r="T25" s="701" t="s">
        <v>14</v>
      </c>
      <c r="U25" s="702">
        <f>H25</f>
        <v>100</v>
      </c>
      <c r="V25" s="701" t="s">
        <v>14</v>
      </c>
      <c r="W25" s="702">
        <f>J25</f>
        <v>100</v>
      </c>
      <c r="X25" s="703"/>
      <c r="Y25" s="364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4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45"/>
      <c r="Q27" s="707" t="str">
        <f t="shared" si="11"/>
        <v>成新率</v>
      </c>
      <c r="R27" s="708" t="s">
        <v>14</v>
      </c>
      <c r="S27" s="709" t="e">
        <f t="shared" si="12"/>
        <v>#N/A</v>
      </c>
      <c r="T27" s="708" t="s">
        <v>14</v>
      </c>
      <c r="U27" s="709" t="e">
        <f t="shared" si="13"/>
        <v>#N/A</v>
      </c>
      <c r="V27" s="708" t="s">
        <v>14</v>
      </c>
      <c r="W27" s="709" t="e">
        <f t="shared" si="14"/>
        <v>#N/A</v>
      </c>
      <c r="X27" s="710"/>
      <c r="Y27" s="364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45"/>
      <c r="Q28" s="1352" t="str">
        <f t="shared" si="11"/>
        <v>物业等级</v>
      </c>
      <c r="R28" s="705" t="s">
        <v>14</v>
      </c>
      <c r="S28" s="706">
        <f t="shared" si="12"/>
        <v>100</v>
      </c>
      <c r="T28" s="705" t="s">
        <v>14</v>
      </c>
      <c r="U28" s="706">
        <f t="shared" si="13"/>
        <v>100</v>
      </c>
      <c r="V28" s="705" t="s">
        <v>14</v>
      </c>
      <c r="W28" s="706">
        <f t="shared" si="14"/>
        <v>100</v>
      </c>
      <c r="X28" s="1355"/>
      <c r="Y28" s="364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45"/>
      <c r="Q29" s="1352" t="str">
        <f t="shared" si="11"/>
        <v>有无电梯</v>
      </c>
      <c r="R29" s="705" t="s">
        <v>14</v>
      </c>
      <c r="S29" s="706">
        <f t="shared" si="12"/>
        <v>100</v>
      </c>
      <c r="T29" s="705" t="s">
        <v>14</v>
      </c>
      <c r="U29" s="706">
        <f t="shared" si="13"/>
        <v>100</v>
      </c>
      <c r="V29" s="705" t="s">
        <v>14</v>
      </c>
      <c r="W29" s="706">
        <f t="shared" si="14"/>
        <v>100</v>
      </c>
      <c r="X29" s="1355"/>
      <c r="Y29" s="364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45"/>
      <c r="Q30" s="1352" t="str">
        <f t="shared" si="11"/>
        <v>建筑面积</v>
      </c>
      <c r="R30" s="705" t="s">
        <v>14</v>
      </c>
      <c r="S30" s="706" t="e">
        <f t="shared" si="12"/>
        <v>#N/A</v>
      </c>
      <c r="T30" s="705" t="s">
        <v>14</v>
      </c>
      <c r="U30" s="706" t="e">
        <f t="shared" si="13"/>
        <v>#N/A</v>
      </c>
      <c r="V30" s="705" t="s">
        <v>14</v>
      </c>
      <c r="W30" s="706" t="e">
        <f t="shared" si="14"/>
        <v>#N/A</v>
      </c>
      <c r="X30" s="1355"/>
      <c r="Y30" s="364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45"/>
      <c r="Q31" s="1343" t="str">
        <f t="shared" si="11"/>
        <v>是否封闭</v>
      </c>
      <c r="R31" s="701" t="s">
        <v>14</v>
      </c>
      <c r="S31" s="702">
        <f t="shared" si="12"/>
        <v>100</v>
      </c>
      <c r="T31" s="701" t="s">
        <v>14</v>
      </c>
      <c r="U31" s="702">
        <f t="shared" si="13"/>
        <v>100</v>
      </c>
      <c r="V31" s="701" t="s">
        <v>14</v>
      </c>
      <c r="W31" s="702">
        <f t="shared" si="14"/>
        <v>100</v>
      </c>
      <c r="X31" s="703"/>
      <c r="Y31" s="364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45" t="s">
        <v>1696</v>
      </c>
      <c r="Q32" s="1352">
        <f t="shared" si="11"/>
        <v>111</v>
      </c>
      <c r="R32" s="705" t="s">
        <v>14</v>
      </c>
      <c r="S32" s="706">
        <f t="shared" si="12"/>
        <v>100</v>
      </c>
      <c r="T32" s="705" t="s">
        <v>14</v>
      </c>
      <c r="U32" s="706">
        <f t="shared" si="13"/>
        <v>100</v>
      </c>
      <c r="V32" s="705" t="s">
        <v>14</v>
      </c>
      <c r="W32" s="706">
        <f t="shared" si="14"/>
        <v>100</v>
      </c>
      <c r="X32" s="1355"/>
      <c r="Y32" s="364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45"/>
      <c r="Q33" s="1352">
        <f t="shared" si="11"/>
        <v>111</v>
      </c>
      <c r="R33" s="705" t="s">
        <v>14</v>
      </c>
      <c r="S33" s="706">
        <f t="shared" si="12"/>
        <v>100</v>
      </c>
      <c r="T33" s="705" t="s">
        <v>14</v>
      </c>
      <c r="U33" s="706">
        <f t="shared" si="13"/>
        <v>100</v>
      </c>
      <c r="V33" s="705" t="s">
        <v>14</v>
      </c>
      <c r="W33" s="706">
        <f t="shared" si="14"/>
        <v>100</v>
      </c>
      <c r="X33" s="1355"/>
      <c r="Y33" s="364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45"/>
      <c r="Q34" s="1352">
        <f t="shared" si="11"/>
        <v>111</v>
      </c>
      <c r="R34" s="705" t="s">
        <v>14</v>
      </c>
      <c r="S34" s="706">
        <f t="shared" si="12"/>
        <v>100</v>
      </c>
      <c r="T34" s="705" t="s">
        <v>14</v>
      </c>
      <c r="U34" s="706">
        <f t="shared" si="13"/>
        <v>100</v>
      </c>
      <c r="V34" s="705" t="s">
        <v>14</v>
      </c>
      <c r="W34" s="706">
        <f t="shared" si="14"/>
        <v>100</v>
      </c>
      <c r="X34" s="1355"/>
      <c r="Y34" s="364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33" t="str">
        <f>A35</f>
        <v>成交单价（元/平方米）</v>
      </c>
      <c r="Q35" s="3633"/>
      <c r="R35" s="3634">
        <f>E35</f>
        <v>0</v>
      </c>
      <c r="S35" s="3634"/>
      <c r="T35" s="3634">
        <f>G35</f>
        <v>0</v>
      </c>
      <c r="U35" s="3634"/>
      <c r="V35" s="3634">
        <f>I35</f>
        <v>0</v>
      </c>
      <c r="W35" s="363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33" t="str">
        <f>A36</f>
        <v>比较价值（元/平方米）</v>
      </c>
      <c r="Q36" s="3633"/>
      <c r="R36" s="3634" t="e">
        <f>IF(F1="售价",ROUND(PRODUCT(R35,AA7:AA34),0),ROUND(PRODUCT(R35,AA7:AA34),1))</f>
        <v>#DIV/0!</v>
      </c>
      <c r="S36" s="3634"/>
      <c r="T36" s="3634" t="e">
        <f>IF(F1="售价",ROUND(PRODUCT(T35,AB7:AB34),0),ROUND(PRODUCT(T35,AB7:AB34),1))</f>
        <v>#DIV/0!</v>
      </c>
      <c r="U36" s="3634"/>
      <c r="V36" s="3634" t="e">
        <f>IF(F1="售价",ROUND(PRODUCT(V35,AC7:AC34),0),ROUND(PRODUCT(V35,AC7:AC34),1))</f>
        <v>#DIV/0!</v>
      </c>
      <c r="W36" s="363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35" t="str">
        <f>A37</f>
        <v>估价对象XX用房的比较价值（楼面单价，元/平方米）</v>
      </c>
      <c r="Q37" s="3636"/>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52" t="s">
        <v>1770</v>
      </c>
      <c r="D4" s="3653"/>
      <c r="E4" s="3654" t="s">
        <v>1771</v>
      </c>
      <c r="F4" s="3655"/>
      <c r="G4" s="3652" t="s">
        <v>1772</v>
      </c>
      <c r="H4" s="3653"/>
      <c r="I4" s="3652" t="s">
        <v>1773</v>
      </c>
      <c r="J4" s="3653"/>
      <c r="K4" s="559" t="s">
        <v>1774</v>
      </c>
      <c r="L4" s="2715"/>
      <c r="M4" s="2716"/>
      <c r="N4" s="2716"/>
      <c r="O4" s="2716"/>
      <c r="P4" s="3656" t="s">
        <v>1775</v>
      </c>
      <c r="Q4" s="3657"/>
      <c r="R4" s="3662" t="s">
        <v>1771</v>
      </c>
      <c r="S4" s="3663"/>
      <c r="T4" s="3662" t="s">
        <v>1772</v>
      </c>
      <c r="U4" s="3663"/>
      <c r="V4" s="3647" t="s">
        <v>1773</v>
      </c>
      <c r="W4" s="3647"/>
      <c r="X4" s="1355"/>
      <c r="Y4" s="3662" t="s">
        <v>1775</v>
      </c>
      <c r="Z4" s="3663"/>
      <c r="AA4" s="3649" t="s">
        <v>1771</v>
      </c>
      <c r="AB4" s="3650" t="s">
        <v>1772</v>
      </c>
      <c r="AC4" s="3649" t="s">
        <v>1773</v>
      </c>
    </row>
    <row r="5" spans="1:30" ht="15">
      <c r="A5" s="358"/>
      <c r="B5" s="359"/>
      <c r="C5" s="3670" t="s">
        <v>1673</v>
      </c>
      <c r="D5" s="3671"/>
      <c r="E5" s="3677" t="s">
        <v>1674</v>
      </c>
      <c r="F5" s="3678"/>
      <c r="G5" s="3670" t="s">
        <v>1675</v>
      </c>
      <c r="H5" s="3671"/>
      <c r="I5" s="3670" t="s">
        <v>1676</v>
      </c>
      <c r="J5" s="3671"/>
      <c r="K5" s="559"/>
      <c r="L5" s="2715"/>
      <c r="M5" s="2716"/>
      <c r="N5" s="2716"/>
      <c r="O5" s="2716"/>
      <c r="P5" s="3658"/>
      <c r="Q5" s="3659"/>
      <c r="R5" s="3664"/>
      <c r="S5" s="3665"/>
      <c r="T5" s="3664"/>
      <c r="U5" s="3665"/>
      <c r="V5" s="3647"/>
      <c r="W5" s="3647"/>
      <c r="X5" s="1355"/>
      <c r="Y5" s="3664"/>
      <c r="Z5" s="3665"/>
      <c r="AA5" s="3650"/>
      <c r="AB5" s="3650"/>
      <c r="AC5" s="3650"/>
    </row>
    <row r="6" spans="1:30" ht="15.75" thickBot="1">
      <c r="A6" s="360"/>
      <c r="B6" s="361"/>
      <c r="C6" s="3668" t="s">
        <v>1677</v>
      </c>
      <c r="D6" s="3669"/>
      <c r="E6" s="3675" t="s">
        <v>1677</v>
      </c>
      <c r="F6" s="3676"/>
      <c r="G6" s="3668" t="s">
        <v>1677</v>
      </c>
      <c r="H6" s="3669"/>
      <c r="I6" s="3668" t="s">
        <v>1677</v>
      </c>
      <c r="J6" s="3669"/>
      <c r="K6" s="559" t="s">
        <v>1678</v>
      </c>
      <c r="L6" s="2715"/>
      <c r="M6" s="2716"/>
      <c r="N6" s="2716"/>
      <c r="O6" s="2716"/>
      <c r="P6" s="3660"/>
      <c r="Q6" s="3661"/>
      <c r="R6" s="3664"/>
      <c r="S6" s="3665"/>
      <c r="T6" s="3666"/>
      <c r="U6" s="3667"/>
      <c r="V6" s="3647"/>
      <c r="W6" s="3647"/>
      <c r="X6" s="1355"/>
      <c r="Y6" s="3666"/>
      <c r="Z6" s="3667"/>
      <c r="AA6" s="3651"/>
      <c r="AB6" s="3651"/>
      <c r="AC6" s="3651"/>
    </row>
    <row r="7" spans="1:30" s="108" customFormat="1" ht="15.75" thickBot="1">
      <c r="A7" s="362" t="s">
        <v>1679</v>
      </c>
      <c r="B7" s="363"/>
      <c r="C7" s="364">
        <f>'数据-取费表'!B2</f>
        <v>45029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2" t="s">
        <v>1680</v>
      </c>
      <c r="Q7" s="3674"/>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33"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633"/>
      <c r="Q10" s="1343" t="str">
        <f t="shared" si="6"/>
        <v>土地使用年限（年）</v>
      </c>
      <c r="R10" s="701" t="s">
        <v>14</v>
      </c>
      <c r="S10" s="702">
        <f t="shared" si="0"/>
        <v>113</v>
      </c>
      <c r="T10" s="701" t="s">
        <v>14</v>
      </c>
      <c r="U10" s="702">
        <f t="shared" si="1"/>
        <v>113</v>
      </c>
      <c r="V10" s="701" t="s">
        <v>14</v>
      </c>
      <c r="W10" s="702">
        <f t="shared" si="2"/>
        <v>113</v>
      </c>
      <c r="X10" s="703"/>
      <c r="Y10" s="3540"/>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33"/>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33"/>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33"/>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33"/>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40" t="s">
        <v>1691</v>
      </c>
      <c r="Q15" s="1352" t="str">
        <f t="shared" si="6"/>
        <v>居住社区成熟度</v>
      </c>
      <c r="R15" s="705" t="s">
        <v>14</v>
      </c>
      <c r="S15" s="706">
        <f t="shared" si="0"/>
        <v>100</v>
      </c>
      <c r="T15" s="705" t="s">
        <v>14</v>
      </c>
      <c r="U15" s="706">
        <f t="shared" si="1"/>
        <v>100</v>
      </c>
      <c r="V15" s="705" t="s">
        <v>14</v>
      </c>
      <c r="W15" s="706">
        <f t="shared" si="2"/>
        <v>100</v>
      </c>
      <c r="X15" s="1355"/>
      <c r="Y15" s="364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41"/>
      <c r="Q16" s="1352"/>
      <c r="R16" s="705"/>
      <c r="S16" s="706"/>
      <c r="T16" s="705"/>
      <c r="U16" s="706"/>
      <c r="V16" s="705"/>
      <c r="W16" s="706"/>
      <c r="X16" s="1355"/>
      <c r="Y16" s="364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41"/>
      <c r="Q17" s="1352" t="str">
        <f>B17</f>
        <v>商业繁华度</v>
      </c>
      <c r="R17" s="705" t="s">
        <v>14</v>
      </c>
      <c r="S17" s="706">
        <f>F17</f>
        <v>100</v>
      </c>
      <c r="T17" s="705" t="s">
        <v>14</v>
      </c>
      <c r="U17" s="706">
        <f>H17</f>
        <v>100</v>
      </c>
      <c r="V17" s="705" t="s">
        <v>14</v>
      </c>
      <c r="W17" s="706">
        <f>J17</f>
        <v>100</v>
      </c>
      <c r="X17" s="1355"/>
      <c r="Y17" s="364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41"/>
      <c r="Q18" s="1352"/>
      <c r="R18" s="705"/>
      <c r="S18" s="706"/>
      <c r="T18" s="705"/>
      <c r="U18" s="706"/>
      <c r="V18" s="705"/>
      <c r="W18" s="706"/>
      <c r="X18" s="1355"/>
      <c r="Y18" s="364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41"/>
      <c r="Q19" s="1352" t="str">
        <f>B19</f>
        <v>办公集聚程度</v>
      </c>
      <c r="R19" s="705" t="s">
        <v>14</v>
      </c>
      <c r="S19" s="706">
        <f>F19</f>
        <v>100</v>
      </c>
      <c r="T19" s="705" t="s">
        <v>14</v>
      </c>
      <c r="U19" s="706">
        <f>H19</f>
        <v>100</v>
      </c>
      <c r="V19" s="705" t="s">
        <v>14</v>
      </c>
      <c r="W19" s="706">
        <f>J19</f>
        <v>100</v>
      </c>
      <c r="X19" s="1355"/>
      <c r="Y19" s="364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41"/>
      <c r="Q20" s="1352"/>
      <c r="R20" s="705"/>
      <c r="S20" s="706"/>
      <c r="T20" s="705"/>
      <c r="U20" s="706"/>
      <c r="V20" s="705"/>
      <c r="W20" s="706"/>
      <c r="X20" s="1355"/>
      <c r="Y20" s="364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41"/>
      <c r="Q21" s="1352" t="str">
        <f>B21</f>
        <v>交通便捷度</v>
      </c>
      <c r="R21" s="705" t="s">
        <v>14</v>
      </c>
      <c r="S21" s="706">
        <f>F21</f>
        <v>100</v>
      </c>
      <c r="T21" s="705" t="s">
        <v>14</v>
      </c>
      <c r="U21" s="706">
        <f>H21</f>
        <v>100</v>
      </c>
      <c r="V21" s="705" t="s">
        <v>14</v>
      </c>
      <c r="W21" s="706">
        <f>J21</f>
        <v>100</v>
      </c>
      <c r="X21" s="1355"/>
      <c r="Y21" s="364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41"/>
      <c r="Q22" s="1352"/>
      <c r="R22" s="705"/>
      <c r="S22" s="706"/>
      <c r="T22" s="705"/>
      <c r="U22" s="706"/>
      <c r="V22" s="705"/>
      <c r="W22" s="706"/>
      <c r="X22" s="1355"/>
      <c r="Y22" s="364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41"/>
      <c r="Q23" s="1352" t="str">
        <f t="shared" ref="Q23:Q37" si="8">B23</f>
        <v>区域土地利用方向</v>
      </c>
      <c r="R23" s="705" t="s">
        <v>14</v>
      </c>
      <c r="S23" s="706">
        <f>F23</f>
        <v>100</v>
      </c>
      <c r="T23" s="705" t="s">
        <v>14</v>
      </c>
      <c r="U23" s="706">
        <f>H23</f>
        <v>100</v>
      </c>
      <c r="V23" s="705" t="s">
        <v>14</v>
      </c>
      <c r="W23" s="706">
        <f>J23</f>
        <v>100</v>
      </c>
      <c r="X23" s="1355"/>
      <c r="Y23" s="364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41"/>
      <c r="Q24" s="1352"/>
      <c r="R24" s="705"/>
      <c r="S24" s="706"/>
      <c r="T24" s="705"/>
      <c r="U24" s="706"/>
      <c r="V24" s="705"/>
      <c r="W24" s="706"/>
      <c r="X24" s="1355"/>
      <c r="Y24" s="364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41"/>
      <c r="Q25" s="1352" t="str">
        <f t="shared" si="8"/>
        <v>自然及人文环境状况</v>
      </c>
      <c r="R25" s="705" t="s">
        <v>14</v>
      </c>
      <c r="S25" s="706">
        <f>F25</f>
        <v>100</v>
      </c>
      <c r="T25" s="705" t="s">
        <v>14</v>
      </c>
      <c r="U25" s="706">
        <f>H25</f>
        <v>100</v>
      </c>
      <c r="V25" s="705" t="s">
        <v>14</v>
      </c>
      <c r="W25" s="706">
        <f>J25</f>
        <v>100</v>
      </c>
      <c r="X25" s="1355"/>
      <c r="Y25" s="364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41"/>
      <c r="Q26" s="1352"/>
      <c r="R26" s="705"/>
      <c r="S26" s="706"/>
      <c r="T26" s="705"/>
      <c r="U26" s="706"/>
      <c r="V26" s="705"/>
      <c r="W26" s="706"/>
      <c r="X26" s="1355"/>
      <c r="Y26" s="364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41"/>
      <c r="Q27" s="1343" t="str">
        <f t="shared" si="8"/>
        <v>公共配套设施</v>
      </c>
      <c r="R27" s="701" t="s">
        <v>14</v>
      </c>
      <c r="S27" s="702">
        <f>F27</f>
        <v>100</v>
      </c>
      <c r="T27" s="701" t="s">
        <v>14</v>
      </c>
      <c r="U27" s="702">
        <f>H27</f>
        <v>100</v>
      </c>
      <c r="V27" s="701" t="s">
        <v>14</v>
      </c>
      <c r="W27" s="702">
        <f>J27</f>
        <v>100</v>
      </c>
      <c r="X27" s="703"/>
      <c r="Y27" s="364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41"/>
      <c r="Q28" s="1343"/>
      <c r="R28" s="701"/>
      <c r="S28" s="702"/>
      <c r="T28" s="701"/>
      <c r="U28" s="702"/>
      <c r="V28" s="701"/>
      <c r="W28" s="702"/>
      <c r="X28" s="703"/>
      <c r="Y28" s="364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41"/>
      <c r="Q29" s="1343" t="str">
        <f t="shared" ref="Q29" si="9">B29</f>
        <v>基础设施水平</v>
      </c>
      <c r="R29" s="701" t="s">
        <v>14</v>
      </c>
      <c r="S29" s="702">
        <f>F29</f>
        <v>100</v>
      </c>
      <c r="T29" s="701" t="s">
        <v>14</v>
      </c>
      <c r="U29" s="702">
        <f>H29</f>
        <v>100</v>
      </c>
      <c r="V29" s="701" t="s">
        <v>14</v>
      </c>
      <c r="W29" s="702">
        <f>J29</f>
        <v>100</v>
      </c>
      <c r="X29" s="703"/>
      <c r="Y29" s="364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41"/>
      <c r="Q30" s="1343"/>
      <c r="R30" s="701"/>
      <c r="S30" s="702"/>
      <c r="T30" s="701"/>
      <c r="U30" s="702"/>
      <c r="V30" s="701"/>
      <c r="W30" s="702"/>
      <c r="X30" s="703"/>
      <c r="Y30" s="364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4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41"/>
      <c r="Q32" s="1352" t="str">
        <f t="shared" si="8"/>
        <v>毗邻道路的类型与等级</v>
      </c>
      <c r="R32" s="705" t="s">
        <v>14</v>
      </c>
      <c r="S32" s="706">
        <f t="shared" si="10"/>
        <v>100</v>
      </c>
      <c r="T32" s="705" t="s">
        <v>14</v>
      </c>
      <c r="U32" s="706">
        <f t="shared" si="11"/>
        <v>100</v>
      </c>
      <c r="V32" s="705" t="s">
        <v>14</v>
      </c>
      <c r="W32" s="706">
        <f t="shared" si="12"/>
        <v>100</v>
      </c>
      <c r="X32" s="1355"/>
      <c r="Y32" s="364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41"/>
      <c r="Q33" s="1352"/>
      <c r="R33" s="705"/>
      <c r="S33" s="706"/>
      <c r="T33" s="705"/>
      <c r="U33" s="706"/>
      <c r="V33" s="705"/>
      <c r="W33" s="706"/>
      <c r="X33" s="1355"/>
      <c r="Y33" s="364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41"/>
      <c r="Q34" s="1352" t="str">
        <f t="shared" si="8"/>
        <v>土地级别</v>
      </c>
      <c r="R34" s="705" t="s">
        <v>14</v>
      </c>
      <c r="S34" s="706">
        <f t="shared" si="10"/>
        <v>100</v>
      </c>
      <c r="T34" s="705" t="s">
        <v>14</v>
      </c>
      <c r="U34" s="706">
        <f t="shared" si="11"/>
        <v>100</v>
      </c>
      <c r="V34" s="705" t="s">
        <v>14</v>
      </c>
      <c r="W34" s="706">
        <f t="shared" si="12"/>
        <v>100</v>
      </c>
      <c r="X34" s="1355"/>
      <c r="Y34" s="364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41"/>
      <c r="Q35" s="1352">
        <f t="shared" si="8"/>
        <v>111</v>
      </c>
      <c r="R35" s="705" t="s">
        <v>14</v>
      </c>
      <c r="S35" s="706">
        <f t="shared" si="10"/>
        <v>100</v>
      </c>
      <c r="T35" s="705" t="s">
        <v>14</v>
      </c>
      <c r="U35" s="706">
        <f t="shared" si="11"/>
        <v>100</v>
      </c>
      <c r="V35" s="705" t="s">
        <v>14</v>
      </c>
      <c r="W35" s="706">
        <f t="shared" si="12"/>
        <v>100</v>
      </c>
      <c r="X35" s="1355"/>
      <c r="Y35" s="364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4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45"/>
      <c r="Q37" s="1352">
        <f t="shared" si="8"/>
        <v>111</v>
      </c>
      <c r="R37" s="708" t="s">
        <v>14</v>
      </c>
      <c r="S37" s="709">
        <f t="shared" si="10"/>
        <v>100</v>
      </c>
      <c r="T37" s="708" t="s">
        <v>14</v>
      </c>
      <c r="U37" s="709">
        <f t="shared" si="11"/>
        <v>100</v>
      </c>
      <c r="V37" s="708" t="s">
        <v>14</v>
      </c>
      <c r="W37" s="709">
        <f t="shared" si="12"/>
        <v>100</v>
      </c>
      <c r="X37" s="710"/>
      <c r="Y37" s="364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45"/>
      <c r="Q38" s="1352" t="str">
        <f>B38</f>
        <v>宗地面积</v>
      </c>
      <c r="R38" s="705" t="s">
        <v>14</v>
      </c>
      <c r="S38" s="706" t="e">
        <f t="shared" si="10"/>
        <v>#N/A</v>
      </c>
      <c r="T38" s="705" t="s">
        <v>14</v>
      </c>
      <c r="U38" s="706" t="e">
        <f t="shared" si="11"/>
        <v>#N/A</v>
      </c>
      <c r="V38" s="705" t="s">
        <v>14</v>
      </c>
      <c r="W38" s="706" t="e">
        <f t="shared" si="12"/>
        <v>#N/A</v>
      </c>
      <c r="X38" s="1355"/>
      <c r="Y38" s="364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45"/>
      <c r="Q39" s="1352" t="str">
        <f t="shared" ref="Q39:Q45" si="14">B39</f>
        <v>宗地形状</v>
      </c>
      <c r="R39" s="705" t="s">
        <v>14</v>
      </c>
      <c r="S39" s="706">
        <f t="shared" si="10"/>
        <v>100</v>
      </c>
      <c r="T39" s="705" t="s">
        <v>14</v>
      </c>
      <c r="U39" s="706">
        <f t="shared" si="11"/>
        <v>100</v>
      </c>
      <c r="V39" s="705" t="s">
        <v>14</v>
      </c>
      <c r="W39" s="706">
        <f t="shared" si="12"/>
        <v>100</v>
      </c>
      <c r="X39" s="1355"/>
      <c r="Y39" s="364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45"/>
      <c r="Q40" s="1352" t="str">
        <f t="shared" si="14"/>
        <v>临街宽度及深度</v>
      </c>
      <c r="R40" s="705" t="s">
        <v>14</v>
      </c>
      <c r="S40" s="706">
        <f t="shared" si="10"/>
        <v>100</v>
      </c>
      <c r="T40" s="705" t="s">
        <v>14</v>
      </c>
      <c r="U40" s="706">
        <f t="shared" si="11"/>
        <v>100</v>
      </c>
      <c r="V40" s="705" t="s">
        <v>14</v>
      </c>
      <c r="W40" s="706">
        <f t="shared" si="12"/>
        <v>100</v>
      </c>
      <c r="X40" s="1355"/>
      <c r="Y40" s="364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45"/>
      <c r="Q41" s="1352" t="str">
        <f t="shared" si="14"/>
        <v>宗地开发程度</v>
      </c>
      <c r="R41" s="701" t="s">
        <v>14</v>
      </c>
      <c r="S41" s="702">
        <f t="shared" si="10"/>
        <v>100</v>
      </c>
      <c r="T41" s="701" t="s">
        <v>14</v>
      </c>
      <c r="U41" s="702">
        <f t="shared" si="11"/>
        <v>100</v>
      </c>
      <c r="V41" s="701" t="s">
        <v>14</v>
      </c>
      <c r="W41" s="702">
        <f t="shared" si="12"/>
        <v>100</v>
      </c>
      <c r="X41" s="703"/>
      <c r="Y41" s="364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45" t="s">
        <v>1696</v>
      </c>
      <c r="Q42" s="1352" t="str">
        <f t="shared" si="14"/>
        <v>工程地质条件</v>
      </c>
      <c r="R42" s="705" t="s">
        <v>14</v>
      </c>
      <c r="S42" s="706">
        <f t="shared" si="10"/>
        <v>100</v>
      </c>
      <c r="T42" s="705" t="s">
        <v>14</v>
      </c>
      <c r="U42" s="706">
        <f t="shared" si="11"/>
        <v>100</v>
      </c>
      <c r="V42" s="705" t="s">
        <v>14</v>
      </c>
      <c r="W42" s="706">
        <f t="shared" si="12"/>
        <v>100</v>
      </c>
      <c r="X42" s="1355"/>
      <c r="Y42" s="364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45"/>
      <c r="Q43" s="1352">
        <f t="shared" si="14"/>
        <v>111</v>
      </c>
      <c r="R43" s="705" t="s">
        <v>14</v>
      </c>
      <c r="S43" s="706">
        <f t="shared" si="10"/>
        <v>100</v>
      </c>
      <c r="T43" s="705" t="s">
        <v>14</v>
      </c>
      <c r="U43" s="706">
        <f t="shared" si="11"/>
        <v>100</v>
      </c>
      <c r="V43" s="705" t="s">
        <v>14</v>
      </c>
      <c r="W43" s="706">
        <f t="shared" si="12"/>
        <v>100</v>
      </c>
      <c r="X43" s="1355"/>
      <c r="Y43" s="364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45"/>
      <c r="Q44" s="1352">
        <f t="shared" si="14"/>
        <v>111</v>
      </c>
      <c r="R44" s="705" t="s">
        <v>14</v>
      </c>
      <c r="S44" s="706">
        <f t="shared" si="10"/>
        <v>100</v>
      </c>
      <c r="T44" s="705" t="s">
        <v>14</v>
      </c>
      <c r="U44" s="706">
        <f t="shared" si="11"/>
        <v>100</v>
      </c>
      <c r="V44" s="705" t="s">
        <v>14</v>
      </c>
      <c r="W44" s="706">
        <f t="shared" si="12"/>
        <v>100</v>
      </c>
      <c r="X44" s="1355"/>
      <c r="Y44" s="364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45"/>
      <c r="Q45" s="1352">
        <f t="shared" si="14"/>
        <v>111</v>
      </c>
      <c r="R45" s="708" t="s">
        <v>14</v>
      </c>
      <c r="S45" s="709">
        <f t="shared" si="10"/>
        <v>100</v>
      </c>
      <c r="T45" s="708" t="s">
        <v>14</v>
      </c>
      <c r="U45" s="709">
        <f t="shared" si="11"/>
        <v>100</v>
      </c>
      <c r="V45" s="708" t="s">
        <v>14</v>
      </c>
      <c r="W45" s="709">
        <f t="shared" si="12"/>
        <v>100</v>
      </c>
      <c r="X45" s="710"/>
      <c r="Y45" s="364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33" t="str">
        <f>A46</f>
        <v>成交单价</v>
      </c>
      <c r="Q46" s="3633"/>
      <c r="R46" s="3647">
        <f>E46</f>
        <v>0</v>
      </c>
      <c r="S46" s="3647"/>
      <c r="T46" s="3647">
        <f>G46</f>
        <v>0</v>
      </c>
      <c r="U46" s="3647"/>
      <c r="V46" s="3647">
        <f>I46</f>
        <v>0</v>
      </c>
      <c r="W46" s="364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33" t="str">
        <f>A47</f>
        <v>比较价值（元/平方米）</v>
      </c>
      <c r="Q47" s="3633"/>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35" t="str">
        <f>A48</f>
        <v>估价对象XX用房的比较价值（楼面单价，元/平方米）</v>
      </c>
      <c r="Q48" s="3636"/>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52"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155.06</v>
      </c>
      <c r="F56" s="886" t="e">
        <f t="shared" ref="F56:F64" si="15">ROUND(B56*E56/10000,0)</f>
        <v>#DIV/0!</v>
      </c>
      <c r="G56" s="3648"/>
      <c r="H56" s="363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155.06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52" t="s">
        <v>1770</v>
      </c>
      <c r="D4" s="3653"/>
      <c r="E4" s="3654" t="s">
        <v>1771</v>
      </c>
      <c r="F4" s="3655"/>
      <c r="G4" s="3652" t="s">
        <v>1772</v>
      </c>
      <c r="H4" s="3653"/>
      <c r="I4" s="3652" t="s">
        <v>1773</v>
      </c>
      <c r="J4" s="3653"/>
      <c r="K4" s="559" t="s">
        <v>1774</v>
      </c>
      <c r="L4" s="2715"/>
      <c r="M4" s="2716"/>
      <c r="N4" s="2716"/>
      <c r="O4" s="2716"/>
      <c r="P4" s="3656" t="s">
        <v>1775</v>
      </c>
      <c r="Q4" s="3657"/>
      <c r="R4" s="3662" t="s">
        <v>1771</v>
      </c>
      <c r="S4" s="3663"/>
      <c r="T4" s="3662" t="s">
        <v>1772</v>
      </c>
      <c r="U4" s="3663"/>
      <c r="V4" s="3647" t="s">
        <v>1773</v>
      </c>
      <c r="W4" s="3647"/>
      <c r="X4" s="1355"/>
      <c r="Y4" s="3662" t="s">
        <v>1775</v>
      </c>
      <c r="Z4" s="3663"/>
      <c r="AA4" s="3649" t="s">
        <v>1771</v>
      </c>
      <c r="AB4" s="3650" t="s">
        <v>1772</v>
      </c>
      <c r="AC4" s="3649" t="s">
        <v>1773</v>
      </c>
    </row>
    <row r="5" spans="1:29" ht="15">
      <c r="A5" s="358"/>
      <c r="B5" s="359"/>
      <c r="C5" s="3670" t="s">
        <v>1673</v>
      </c>
      <c r="D5" s="3671"/>
      <c r="E5" s="3677" t="s">
        <v>1674</v>
      </c>
      <c r="F5" s="3678"/>
      <c r="G5" s="3670" t="s">
        <v>1675</v>
      </c>
      <c r="H5" s="3671"/>
      <c r="I5" s="3670" t="s">
        <v>1676</v>
      </c>
      <c r="J5" s="3671"/>
      <c r="K5" s="559"/>
      <c r="L5" s="2715"/>
      <c r="M5" s="2716"/>
      <c r="N5" s="2716"/>
      <c r="O5" s="2716"/>
      <c r="P5" s="3658"/>
      <c r="Q5" s="3659"/>
      <c r="R5" s="3664"/>
      <c r="S5" s="3665"/>
      <c r="T5" s="3664"/>
      <c r="U5" s="3665"/>
      <c r="V5" s="3647"/>
      <c r="W5" s="3647"/>
      <c r="X5" s="1355"/>
      <c r="Y5" s="3664"/>
      <c r="Z5" s="3665"/>
      <c r="AA5" s="3650"/>
      <c r="AB5" s="3650"/>
      <c r="AC5" s="3650"/>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60"/>
      <c r="Q6" s="3661"/>
      <c r="R6" s="3664"/>
      <c r="S6" s="3665"/>
      <c r="T6" s="3666"/>
      <c r="U6" s="3667"/>
      <c r="V6" s="3647"/>
      <c r="W6" s="3647"/>
      <c r="X6" s="1355"/>
      <c r="Y6" s="3666"/>
      <c r="Z6" s="3667"/>
      <c r="AA6" s="3651"/>
      <c r="AB6" s="3651"/>
      <c r="AC6" s="3651"/>
    </row>
    <row r="7" spans="1:29" s="108" customFormat="1" ht="15.75" thickBot="1">
      <c r="A7" s="362" t="s">
        <v>1679</v>
      </c>
      <c r="B7" s="363"/>
      <c r="C7" s="364">
        <f>'数据-取费表'!B2</f>
        <v>45029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2" t="s">
        <v>1680</v>
      </c>
      <c r="Q7" s="3674"/>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33"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633"/>
      <c r="Q10" s="1343" t="str">
        <f t="shared" si="6"/>
        <v>土地使用年限（年）</v>
      </c>
      <c r="R10" s="701" t="s">
        <v>14</v>
      </c>
      <c r="S10" s="702">
        <f t="shared" si="0"/>
        <v>113</v>
      </c>
      <c r="T10" s="701" t="s">
        <v>14</v>
      </c>
      <c r="U10" s="702">
        <f t="shared" si="1"/>
        <v>113</v>
      </c>
      <c r="V10" s="701" t="s">
        <v>14</v>
      </c>
      <c r="W10" s="702">
        <f t="shared" si="2"/>
        <v>113</v>
      </c>
      <c r="X10" s="703"/>
      <c r="Y10" s="3540"/>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33"/>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33"/>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33"/>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33"/>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40" t="s">
        <v>1691</v>
      </c>
      <c r="Q15" s="1352" t="str">
        <f t="shared" si="6"/>
        <v>产业集聚程度</v>
      </c>
      <c r="R15" s="705" t="s">
        <v>14</v>
      </c>
      <c r="S15" s="706">
        <f t="shared" si="0"/>
        <v>100</v>
      </c>
      <c r="T15" s="705" t="s">
        <v>14</v>
      </c>
      <c r="U15" s="706">
        <f t="shared" si="1"/>
        <v>100</v>
      </c>
      <c r="V15" s="705" t="s">
        <v>14</v>
      </c>
      <c r="W15" s="706">
        <f t="shared" si="2"/>
        <v>100</v>
      </c>
      <c r="X15" s="1355"/>
      <c r="Y15" s="364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41"/>
      <c r="Q16" s="1352"/>
      <c r="R16" s="705"/>
      <c r="S16" s="706"/>
      <c r="T16" s="705"/>
      <c r="U16" s="706"/>
      <c r="V16" s="705"/>
      <c r="W16" s="706"/>
      <c r="X16" s="1355"/>
      <c r="Y16" s="364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41"/>
      <c r="Q17" s="1352" t="str">
        <f>B17</f>
        <v>交通便捷度</v>
      </c>
      <c r="R17" s="705" t="s">
        <v>14</v>
      </c>
      <c r="S17" s="706">
        <f>F17</f>
        <v>100</v>
      </c>
      <c r="T17" s="705" t="s">
        <v>14</v>
      </c>
      <c r="U17" s="706">
        <f>H17</f>
        <v>100</v>
      </c>
      <c r="V17" s="705" t="s">
        <v>14</v>
      </c>
      <c r="W17" s="706">
        <f>J17</f>
        <v>100</v>
      </c>
      <c r="X17" s="1355"/>
      <c r="Y17" s="364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41"/>
      <c r="Q18" s="1352"/>
      <c r="R18" s="705"/>
      <c r="S18" s="706"/>
      <c r="T18" s="705"/>
      <c r="U18" s="706"/>
      <c r="V18" s="705"/>
      <c r="W18" s="706"/>
      <c r="X18" s="1355"/>
      <c r="Y18" s="364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41"/>
      <c r="Q19" s="1352" t="str">
        <f t="shared" ref="Q19:Q33" si="8">B19</f>
        <v>区域土地利用方向</v>
      </c>
      <c r="R19" s="705" t="s">
        <v>14</v>
      </c>
      <c r="S19" s="706">
        <f>F19</f>
        <v>100</v>
      </c>
      <c r="T19" s="705" t="s">
        <v>14</v>
      </c>
      <c r="U19" s="706">
        <f>H19</f>
        <v>100</v>
      </c>
      <c r="V19" s="705" t="s">
        <v>14</v>
      </c>
      <c r="W19" s="706">
        <f>J19</f>
        <v>100</v>
      </c>
      <c r="X19" s="1355"/>
      <c r="Y19" s="364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41"/>
      <c r="Q20" s="1352"/>
      <c r="R20" s="705"/>
      <c r="S20" s="706"/>
      <c r="T20" s="705"/>
      <c r="U20" s="706"/>
      <c r="V20" s="705"/>
      <c r="W20" s="706"/>
      <c r="X20" s="1355"/>
      <c r="Y20" s="364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41"/>
      <c r="Q21" s="1352" t="str">
        <f t="shared" si="8"/>
        <v>环境状况</v>
      </c>
      <c r="R21" s="705" t="s">
        <v>14</v>
      </c>
      <c r="S21" s="706">
        <f>F21</f>
        <v>100</v>
      </c>
      <c r="T21" s="705" t="s">
        <v>14</v>
      </c>
      <c r="U21" s="706">
        <f>H21</f>
        <v>100</v>
      </c>
      <c r="V21" s="705" t="s">
        <v>14</v>
      </c>
      <c r="W21" s="706">
        <f>J21</f>
        <v>100</v>
      </c>
      <c r="X21" s="1355"/>
      <c r="Y21" s="364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41"/>
      <c r="Q22" s="1352"/>
      <c r="R22" s="705"/>
      <c r="S22" s="706"/>
      <c r="T22" s="705"/>
      <c r="U22" s="706"/>
      <c r="V22" s="705"/>
      <c r="W22" s="706"/>
      <c r="X22" s="1355"/>
      <c r="Y22" s="364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41"/>
      <c r="Q23" s="1343" t="str">
        <f t="shared" si="8"/>
        <v>公共配套设施</v>
      </c>
      <c r="R23" s="701" t="s">
        <v>14</v>
      </c>
      <c r="S23" s="702">
        <f>F23</f>
        <v>100</v>
      </c>
      <c r="T23" s="701" t="s">
        <v>14</v>
      </c>
      <c r="U23" s="702">
        <f>H23</f>
        <v>100</v>
      </c>
      <c r="V23" s="701" t="s">
        <v>14</v>
      </c>
      <c r="W23" s="702">
        <f>J23</f>
        <v>100</v>
      </c>
      <c r="X23" s="703"/>
      <c r="Y23" s="364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41"/>
      <c r="Q24" s="1343"/>
      <c r="R24" s="701"/>
      <c r="S24" s="702"/>
      <c r="T24" s="701"/>
      <c r="U24" s="702"/>
      <c r="V24" s="701"/>
      <c r="W24" s="702"/>
      <c r="X24" s="703"/>
      <c r="Y24" s="364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41"/>
      <c r="Q25" s="1343" t="str">
        <f t="shared" ref="Q25" si="9">B25</f>
        <v>基础设施水平</v>
      </c>
      <c r="R25" s="701" t="s">
        <v>14</v>
      </c>
      <c r="S25" s="702">
        <f>F25</f>
        <v>100</v>
      </c>
      <c r="T25" s="701" t="s">
        <v>14</v>
      </c>
      <c r="U25" s="702">
        <f>H25</f>
        <v>100</v>
      </c>
      <c r="V25" s="701" t="s">
        <v>14</v>
      </c>
      <c r="W25" s="702">
        <f>J25</f>
        <v>100</v>
      </c>
      <c r="X25" s="703"/>
      <c r="Y25" s="364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41"/>
      <c r="Q26" s="1343"/>
      <c r="R26" s="701"/>
      <c r="S26" s="702"/>
      <c r="T26" s="701"/>
      <c r="U26" s="702"/>
      <c r="V26" s="701"/>
      <c r="W26" s="702"/>
      <c r="X26" s="703"/>
      <c r="Y26" s="364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4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41"/>
      <c r="Q28" s="1352" t="str">
        <f t="shared" si="8"/>
        <v>毗邻道路的类型与等级</v>
      </c>
      <c r="R28" s="705" t="s">
        <v>14</v>
      </c>
      <c r="S28" s="706">
        <f t="shared" si="10"/>
        <v>100</v>
      </c>
      <c r="T28" s="705" t="s">
        <v>14</v>
      </c>
      <c r="U28" s="706">
        <f t="shared" si="11"/>
        <v>100</v>
      </c>
      <c r="V28" s="705" t="s">
        <v>14</v>
      </c>
      <c r="W28" s="706">
        <f t="shared" si="12"/>
        <v>100</v>
      </c>
      <c r="X28" s="1355"/>
      <c r="Y28" s="364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41"/>
      <c r="Q29" s="1352"/>
      <c r="R29" s="705"/>
      <c r="S29" s="706"/>
      <c r="T29" s="705"/>
      <c r="U29" s="706"/>
      <c r="V29" s="705"/>
      <c r="W29" s="706"/>
      <c r="X29" s="1355"/>
      <c r="Y29" s="364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41"/>
      <c r="Q30" s="1352" t="str">
        <f t="shared" si="8"/>
        <v>土地级别</v>
      </c>
      <c r="R30" s="705" t="s">
        <v>14</v>
      </c>
      <c r="S30" s="706">
        <f t="shared" si="10"/>
        <v>100</v>
      </c>
      <c r="T30" s="705" t="s">
        <v>14</v>
      </c>
      <c r="U30" s="706">
        <f t="shared" si="11"/>
        <v>100</v>
      </c>
      <c r="V30" s="705" t="s">
        <v>14</v>
      </c>
      <c r="W30" s="706">
        <f t="shared" si="12"/>
        <v>100</v>
      </c>
      <c r="X30" s="1355"/>
      <c r="Y30" s="364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41"/>
      <c r="Q31" s="1352">
        <f t="shared" si="8"/>
        <v>111</v>
      </c>
      <c r="R31" s="705" t="s">
        <v>14</v>
      </c>
      <c r="S31" s="706">
        <f t="shared" si="10"/>
        <v>100</v>
      </c>
      <c r="T31" s="705" t="s">
        <v>14</v>
      </c>
      <c r="U31" s="706">
        <f t="shared" si="11"/>
        <v>100</v>
      </c>
      <c r="V31" s="705" t="s">
        <v>14</v>
      </c>
      <c r="W31" s="706">
        <f t="shared" si="12"/>
        <v>100</v>
      </c>
      <c r="X31" s="1355"/>
      <c r="Y31" s="364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4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45"/>
      <c r="Q33" s="1352">
        <f t="shared" si="8"/>
        <v>111</v>
      </c>
      <c r="R33" s="708" t="s">
        <v>14</v>
      </c>
      <c r="S33" s="709">
        <f t="shared" si="10"/>
        <v>100</v>
      </c>
      <c r="T33" s="708" t="s">
        <v>14</v>
      </c>
      <c r="U33" s="709">
        <f t="shared" si="11"/>
        <v>100</v>
      </c>
      <c r="V33" s="708" t="s">
        <v>14</v>
      </c>
      <c r="W33" s="709">
        <f t="shared" si="12"/>
        <v>100</v>
      </c>
      <c r="X33" s="710"/>
      <c r="Y33" s="364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45"/>
      <c r="Q34" s="1352" t="str">
        <f>B34</f>
        <v>宗地面积</v>
      </c>
      <c r="R34" s="705" t="s">
        <v>14</v>
      </c>
      <c r="S34" s="706" t="e">
        <f t="shared" si="10"/>
        <v>#N/A</v>
      </c>
      <c r="T34" s="705" t="s">
        <v>14</v>
      </c>
      <c r="U34" s="706" t="e">
        <f t="shared" si="11"/>
        <v>#N/A</v>
      </c>
      <c r="V34" s="705" t="s">
        <v>14</v>
      </c>
      <c r="W34" s="706" t="e">
        <f t="shared" si="12"/>
        <v>#N/A</v>
      </c>
      <c r="X34" s="1355"/>
      <c r="Y34" s="364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45"/>
      <c r="Q35" s="1352" t="str">
        <f t="shared" ref="Q35:Q40" si="14">B35</f>
        <v>宗地形状</v>
      </c>
      <c r="R35" s="705" t="s">
        <v>14</v>
      </c>
      <c r="S35" s="706">
        <f t="shared" si="10"/>
        <v>100</v>
      </c>
      <c r="T35" s="705" t="s">
        <v>14</v>
      </c>
      <c r="U35" s="706">
        <f t="shared" si="11"/>
        <v>100</v>
      </c>
      <c r="V35" s="705" t="s">
        <v>14</v>
      </c>
      <c r="W35" s="706">
        <f t="shared" si="12"/>
        <v>100</v>
      </c>
      <c r="X35" s="1355"/>
      <c r="Y35" s="364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45"/>
      <c r="Q36" s="1352" t="str">
        <f t="shared" si="14"/>
        <v>宗地开发程度</v>
      </c>
      <c r="R36" s="701" t="s">
        <v>14</v>
      </c>
      <c r="S36" s="702">
        <f t="shared" si="10"/>
        <v>100</v>
      </c>
      <c r="T36" s="701" t="s">
        <v>14</v>
      </c>
      <c r="U36" s="702">
        <f t="shared" si="11"/>
        <v>100</v>
      </c>
      <c r="V36" s="701" t="s">
        <v>14</v>
      </c>
      <c r="W36" s="702">
        <f t="shared" si="12"/>
        <v>100</v>
      </c>
      <c r="X36" s="703"/>
      <c r="Y36" s="364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45" t="s">
        <v>1696</v>
      </c>
      <c r="Q37" s="1352" t="str">
        <f t="shared" si="14"/>
        <v>工程地质条件</v>
      </c>
      <c r="R37" s="705" t="s">
        <v>14</v>
      </c>
      <c r="S37" s="706">
        <f t="shared" si="10"/>
        <v>100</v>
      </c>
      <c r="T37" s="705" t="s">
        <v>14</v>
      </c>
      <c r="U37" s="706">
        <f t="shared" si="11"/>
        <v>100</v>
      </c>
      <c r="V37" s="705" t="s">
        <v>14</v>
      </c>
      <c r="W37" s="706">
        <f t="shared" si="12"/>
        <v>100</v>
      </c>
      <c r="X37" s="1355"/>
      <c r="Y37" s="364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45"/>
      <c r="Q38" s="1352">
        <f t="shared" si="14"/>
        <v>111</v>
      </c>
      <c r="R38" s="705" t="s">
        <v>14</v>
      </c>
      <c r="S38" s="706">
        <f t="shared" si="10"/>
        <v>100</v>
      </c>
      <c r="T38" s="705" t="s">
        <v>14</v>
      </c>
      <c r="U38" s="706">
        <f t="shared" si="11"/>
        <v>100</v>
      </c>
      <c r="V38" s="705" t="s">
        <v>14</v>
      </c>
      <c r="W38" s="706">
        <f t="shared" si="12"/>
        <v>100</v>
      </c>
      <c r="X38" s="1355"/>
      <c r="Y38" s="364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45"/>
      <c r="Q39" s="1352">
        <f t="shared" si="14"/>
        <v>111</v>
      </c>
      <c r="R39" s="705" t="s">
        <v>14</v>
      </c>
      <c r="S39" s="706">
        <f t="shared" si="10"/>
        <v>100</v>
      </c>
      <c r="T39" s="705" t="s">
        <v>14</v>
      </c>
      <c r="U39" s="706">
        <f t="shared" si="11"/>
        <v>100</v>
      </c>
      <c r="V39" s="705" t="s">
        <v>14</v>
      </c>
      <c r="W39" s="706">
        <f t="shared" si="12"/>
        <v>100</v>
      </c>
      <c r="X39" s="1355"/>
      <c r="Y39" s="364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45"/>
      <c r="Q40" s="1352">
        <f t="shared" si="14"/>
        <v>111</v>
      </c>
      <c r="R40" s="708" t="s">
        <v>14</v>
      </c>
      <c r="S40" s="709">
        <f t="shared" si="10"/>
        <v>100</v>
      </c>
      <c r="T40" s="708" t="s">
        <v>14</v>
      </c>
      <c r="U40" s="709">
        <f t="shared" si="11"/>
        <v>100</v>
      </c>
      <c r="V40" s="708" t="s">
        <v>14</v>
      </c>
      <c r="W40" s="709">
        <f t="shared" si="12"/>
        <v>100</v>
      </c>
      <c r="X40" s="710"/>
      <c r="Y40" s="364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33" t="str">
        <f>A41</f>
        <v>成交单价</v>
      </c>
      <c r="Q41" s="3633"/>
      <c r="R41" s="3647">
        <f>E41</f>
        <v>0</v>
      </c>
      <c r="S41" s="3647"/>
      <c r="T41" s="3647">
        <f>G41</f>
        <v>0</v>
      </c>
      <c r="U41" s="3647"/>
      <c r="V41" s="3647">
        <f>I41</f>
        <v>0</v>
      </c>
      <c r="W41" s="364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33" t="str">
        <f>A42</f>
        <v>比较价值（元/平方米）</v>
      </c>
      <c r="Q42" s="3633"/>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35" t="str">
        <f>A43</f>
        <v>估价对象XX用房的比较价值（楼面单价，元/平方米）</v>
      </c>
      <c r="Q43" s="3636"/>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52"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155.06</v>
      </c>
      <c r="F51" s="639" t="e">
        <f t="shared" ref="F51:F60" si="15">ROUND(B51*E51/10000,0)</f>
        <v>#DIV/0!</v>
      </c>
      <c r="G51" s="3648"/>
      <c r="H51" s="363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45029</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3301</v>
      </c>
      <c r="B103" s="3751"/>
      <c r="C103" s="3751"/>
      <c r="D103" s="3751"/>
      <c r="E103" s="3751"/>
      <c r="F103" s="3751"/>
      <c r="G103" s="3751"/>
      <c r="H103" s="3751"/>
      <c r="I103" s="3751"/>
      <c r="J103" s="3751"/>
      <c r="K103" s="3390"/>
      <c r="L103" s="3390"/>
      <c r="M103" s="3390"/>
      <c r="N103" s="3390"/>
    </row>
    <row r="104" spans="1:14">
      <c r="A104" s="3752" t="s">
        <v>3302</v>
      </c>
      <c r="B104" s="3752" t="s">
        <v>3303</v>
      </c>
      <c r="C104" s="3391" t="s">
        <v>3304</v>
      </c>
      <c r="D104" s="3392"/>
      <c r="E104" s="3392"/>
      <c r="F104" s="3392"/>
      <c r="G104" s="3392"/>
      <c r="H104" s="3392"/>
      <c r="I104" s="3392"/>
      <c r="J104" s="3393"/>
      <c r="K104" s="3394"/>
      <c r="L104" s="3394"/>
      <c r="M104" s="3394"/>
      <c r="N104" s="3394"/>
    </row>
    <row r="105" spans="1:14">
      <c r="A105" s="3752"/>
      <c r="B105" s="37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3318</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29350</v>
      </c>
      <c r="C2" s="2" t="s">
        <v>106</v>
      </c>
      <c r="D2" s="199"/>
      <c r="E2" s="199"/>
      <c r="F2" s="199"/>
      <c r="G2" s="199"/>
    </row>
    <row r="3" spans="1:7" s="200" customFormat="1" ht="18" customHeight="1" thickBot="1">
      <c r="A3" s="203" t="s">
        <v>58</v>
      </c>
      <c r="B3" s="204">
        <f ca="1">ROUND(B2*10000/'数据-汇总表'!E3,0)</f>
        <v>1892816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155.06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155.06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155.06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9" t="s">
        <v>94</v>
      </c>
    </row>
    <row r="43" spans="1:7" ht="13.5" customHeight="1">
      <c r="A43" s="780" t="s">
        <v>347</v>
      </c>
      <c r="B43" s="215" t="s">
        <v>426</v>
      </c>
      <c r="C43" s="238">
        <f ca="1">ROUND(IF('数据-取费表'!B22&lt;=1,C39*F22*'数据-取费表'!B21/2,C39*(POWER((1+F22),'数据-取费表'!B21/2)-1)),0)</f>
        <v>0</v>
      </c>
      <c r="D43" s="238"/>
      <c r="E43" s="238"/>
      <c r="F43" s="239"/>
      <c r="G43" s="3680"/>
    </row>
    <row r="44" spans="1:7" ht="13.5" customHeight="1">
      <c r="A44" s="780" t="s">
        <v>348</v>
      </c>
      <c r="B44" s="215" t="s">
        <v>428</v>
      </c>
      <c r="C44" s="238">
        <f ca="1">ROUND(IF('数据-取费表'!B22&lt;=1,C40*F22*'数据-取费表'!B21/2,C40*(POWER((1+F22),'数据-取费表'!B21/2)-1)),4)</f>
        <v>8.0000000000000004E-4</v>
      </c>
      <c r="D44" s="238"/>
      <c r="E44" s="238"/>
      <c r="F44" s="239"/>
      <c r="G44" s="3681"/>
    </row>
    <row r="45" spans="1:7" s="214" customFormat="1" ht="13.5" customHeight="1">
      <c r="A45" s="777" t="s">
        <v>341</v>
      </c>
      <c r="B45" s="244" t="s">
        <v>85</v>
      </c>
      <c r="C45" s="245">
        <f>C46</f>
        <v>12</v>
      </c>
      <c r="D45" s="235">
        <f>C47</f>
        <v>4.0000000000000001E-3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69</v>
      </c>
      <c r="D51" s="232"/>
      <c r="E51" s="232"/>
      <c r="F51" s="264"/>
      <c r="G51" s="234" t="s">
        <v>37</v>
      </c>
    </row>
    <row r="52" spans="1:7" s="208" customFormat="1" ht="16.5" thickBot="1">
      <c r="A52" s="265" t="s">
        <v>38</v>
      </c>
      <c r="B52" s="266"/>
      <c r="C52" s="267">
        <f ca="1">C31+C51</f>
        <v>29350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1170</v>
      </c>
      <c r="E5" s="1491"/>
    </row>
    <row r="6" spans="1:5" ht="15.75">
      <c r="A6" s="1491"/>
      <c r="B6" s="3452"/>
      <c r="C6" s="1494" t="s">
        <v>911</v>
      </c>
      <c r="D6" s="850" t="str">
        <f ca="1">NUMBERSTRING(INT(D5*10000),2)&amp;"元整"</f>
        <v>壹仟壹佰柒拾万元整</v>
      </c>
      <c r="E6" s="1491"/>
    </row>
    <row r="7" spans="1:5" ht="15.75">
      <c r="A7" s="1491"/>
      <c r="B7" s="3457"/>
      <c r="C7" s="1495" t="s">
        <v>912</v>
      </c>
      <c r="D7" s="851">
        <f ca="1">结果表!H102</f>
        <v>75458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1170</v>
      </c>
      <c r="E13" s="1491"/>
    </row>
    <row r="14" spans="1:5" ht="15.75">
      <c r="A14" s="1491"/>
      <c r="B14" s="3452"/>
      <c r="C14" s="1494" t="s">
        <v>911</v>
      </c>
      <c r="D14" s="850" t="str">
        <f ca="1">NUMBERSTRING(INT(D13*10000),2)&amp;"元整"</f>
        <v>壹仟壹佰柒拾万元整</v>
      </c>
      <c r="E14" s="1491"/>
    </row>
    <row r="15" spans="1:5" ht="15">
      <c r="A15" s="1491"/>
      <c r="B15" s="3457"/>
      <c r="C15" s="1495" t="s">
        <v>921</v>
      </c>
      <c r="D15" s="859">
        <f ca="1">结果表!H108</f>
        <v>75458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45029</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155.06</v>
      </c>
      <c r="C4" s="854">
        <f>项目基本情况!C18</f>
        <v>0</v>
      </c>
      <c r="D4" s="854" t="e">
        <f ca="1">结果表!D118</f>
        <v>#REF!</v>
      </c>
      <c r="E4" s="854" t="e">
        <f ca="1">结果表!E118</f>
        <v>#REF!</v>
      </c>
      <c r="F4" s="854" t="e">
        <f ca="1">结果表!F118</f>
        <v>#REF!</v>
      </c>
      <c r="G4" s="854" t="e">
        <f ca="1">结果表!G118</f>
        <v>#REF!</v>
      </c>
      <c r="H4" s="854">
        <f ca="1">结果表!H118</f>
        <v>1170</v>
      </c>
      <c r="I4" s="854">
        <f ca="1">结果表!I118</f>
        <v>75458</v>
      </c>
    </row>
    <row r="5" spans="1:9" ht="30" customHeight="1">
      <c r="A5" s="3464" t="s">
        <v>927</v>
      </c>
      <c r="B5" s="3464"/>
      <c r="C5" s="3464"/>
      <c r="D5" s="3464" t="e">
        <f ca="1">结果表!D119</f>
        <v>#REF!</v>
      </c>
      <c r="E5" s="3464"/>
      <c r="F5" s="3464" t="e">
        <f ca="1">结果表!F119</f>
        <v>#REF!</v>
      </c>
      <c r="G5" s="3464"/>
      <c r="H5" s="3464" t="str">
        <f ca="1">结果表!H119</f>
        <v>壹仟壹佰柒拾万元整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1170</v>
      </c>
      <c r="E8" s="3463"/>
      <c r="F8" s="3463"/>
      <c r="G8" s="3463"/>
      <c r="H8" s="3463"/>
      <c r="I8" s="3463"/>
    </row>
    <row r="9" spans="1:9" ht="15">
      <c r="A9" s="3464" t="s">
        <v>927</v>
      </c>
      <c r="B9" s="3464"/>
      <c r="C9" s="3464"/>
      <c r="D9" s="3464" t="str">
        <f ca="1">结果表!D123</f>
        <v>壹仟壹佰柒拾万元整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45029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2023-04-13T09:36:33Z</dcterms:modified>
</cp:coreProperties>
</file>