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 i="43" l="1"/>
  <c r="Y6" i="1"/>
  <c r="D29" i="43"/>
  <c r="D33" i="43"/>
  <c r="B29" i="1"/>
  <c r="D3" i="4" l="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E6" i="70" s="1"/>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M1" i="43"/>
  <c r="N8" i="43"/>
  <c r="D120" i="9"/>
  <c r="D121" i="9" s="1"/>
  <c r="D7" i="52" s="1"/>
  <c r="F34" i="67"/>
  <c r="F62" i="67" s="1"/>
  <c r="M20" i="67"/>
  <c r="F34" i="15"/>
  <c r="F62" i="15" s="1"/>
  <c r="G13" i="3"/>
  <c r="G5" i="3" s="1"/>
  <c r="B3" i="3" s="1"/>
  <c r="AK6"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L27" i="6" s="1"/>
  <c r="G1" i="68"/>
  <c r="K1" i="12"/>
  <c r="F30" i="6"/>
  <c r="E28" i="6"/>
  <c r="E56" i="40"/>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48" i="43" s="1"/>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I59" i="34" s="1"/>
  <c r="J59" i="34" s="1"/>
  <c r="C52" i="37"/>
  <c r="D52" i="37" s="1"/>
  <c r="A4" i="51"/>
  <c r="B6" i="72" s="1"/>
  <c r="C4" i="12"/>
  <c r="H66" i="43"/>
  <c r="H65" i="43"/>
  <c r="H64" i="43"/>
  <c r="H63" i="43"/>
  <c r="H72" i="43"/>
  <c r="L20" i="6"/>
  <c r="B6" i="1"/>
  <c r="E6" i="1" s="1"/>
  <c r="S8" i="1"/>
  <c r="AQ8" i="1" s="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E30" i="6"/>
  <c r="K15" i="1"/>
  <c r="T13" i="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BL5" i="3"/>
  <c r="E434" i="3"/>
  <c r="E296" i="3"/>
  <c r="E136" i="3"/>
  <c r="E135" i="3"/>
  <c r="E161" i="3"/>
  <c r="E77" i="3"/>
  <c r="E253"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T8" i="1"/>
  <c r="R22" i="31"/>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C34" i="69"/>
  <c r="C35" i="69" s="1"/>
  <c r="AE7" i="1"/>
  <c r="AE8" i="1"/>
  <c r="AG6" i="1"/>
  <c r="H109" i="9"/>
  <c r="H110" i="9"/>
  <c r="D18" i="53"/>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AO12" i="1"/>
  <c r="F41" i="67"/>
  <c r="M23" i="15"/>
  <c r="E13" i="76"/>
  <c r="B8" i="76"/>
  <c r="F16" i="15"/>
  <c r="F7" i="15"/>
  <c r="B9" i="76"/>
  <c r="D2" i="35"/>
  <c r="F40" i="15"/>
  <c r="B10" i="76"/>
  <c r="D2" i="33"/>
  <c r="M8" i="67"/>
  <c r="F36" i="67"/>
  <c r="F16" i="67"/>
  <c r="M6" i="67"/>
  <c r="AO11" i="1"/>
  <c r="E9" i="76"/>
  <c r="F35" i="67"/>
  <c r="E12" i="76"/>
  <c r="M22" i="15"/>
  <c r="D2" i="37"/>
  <c r="M8" i="15"/>
  <c r="C76" i="67"/>
  <c r="L47" i="15"/>
  <c r="D2" i="21"/>
  <c r="F38" i="67"/>
  <c r="F7" i="67"/>
  <c r="M27" i="67"/>
  <c r="F9" i="15"/>
  <c r="F7" i="73"/>
  <c r="M9" i="67"/>
  <c r="F6" i="15"/>
  <c r="F26" i="15"/>
  <c r="F6" i="67"/>
  <c r="F42" i="67"/>
  <c r="M21" i="67"/>
  <c r="AO10" i="1"/>
  <c r="M24" i="15"/>
  <c r="D4" i="73"/>
  <c r="D3" i="73"/>
  <c r="F43" i="67"/>
  <c r="E7" i="76"/>
  <c r="F3" i="73"/>
  <c r="M23" i="67"/>
  <c r="M26" i="67"/>
  <c r="E2" i="68"/>
  <c r="M29" i="67"/>
  <c r="E8" i="76"/>
  <c r="F40" i="67"/>
  <c r="D9" i="68"/>
  <c r="M9" i="15"/>
  <c r="F8" i="15"/>
  <c r="F4" i="73"/>
  <c r="M28" i="67"/>
  <c r="E10" i="76"/>
  <c r="D2" i="36"/>
  <c r="D7" i="73"/>
  <c r="B7" i="76"/>
  <c r="D35" i="9"/>
  <c r="F20" i="31"/>
  <c r="AO9" i="1"/>
  <c r="M27" i="15"/>
  <c r="E11" i="76"/>
  <c r="F38" i="15"/>
  <c r="F37" i="67"/>
  <c r="D6" i="73"/>
  <c r="L48" i="67"/>
  <c r="D2" i="34"/>
  <c r="F8" i="67"/>
  <c r="AO13" i="1"/>
  <c r="L48" i="15"/>
  <c r="M22" i="67"/>
  <c r="M6" i="15"/>
  <c r="B11" i="76"/>
  <c r="AO7" i="1"/>
  <c r="M28" i="15"/>
  <c r="D34" i="9"/>
  <c r="J15" i="67"/>
  <c r="M24" i="67"/>
  <c r="F43" i="15"/>
  <c r="F42" i="15"/>
  <c r="F36" i="15"/>
  <c r="B12" i="76"/>
  <c r="F13" i="67"/>
  <c r="J15" i="15"/>
  <c r="F9" i="67"/>
  <c r="L47" i="67"/>
  <c r="B13" i="76"/>
  <c r="F26" i="67"/>
  <c r="F37" i="15"/>
  <c r="AO8" i="1"/>
  <c r="F13" i="15"/>
  <c r="E2" i="69"/>
  <c r="F6" i="73"/>
  <c r="C76" i="15"/>
  <c r="F5" i="73"/>
  <c r="M26" i="15"/>
  <c r="D5" i="73"/>
  <c r="M29" i="15"/>
  <c r="C18" i="9" l="1"/>
  <c r="D18" i="9" s="1"/>
  <c r="P61" i="15"/>
  <c r="C9" i="68"/>
  <c r="E11" i="43"/>
  <c r="E9" i="43"/>
  <c r="E10" i="43"/>
  <c r="E8" i="43"/>
  <c r="H52" i="43"/>
  <c r="H50" i="43"/>
  <c r="H53" i="43"/>
  <c r="H55" i="43"/>
  <c r="H54" i="43"/>
  <c r="H48" i="43"/>
  <c r="H49" i="43"/>
  <c r="H56" i="43"/>
  <c r="H51" i="43"/>
  <c r="G17" i="43"/>
  <c r="C16" i="43" s="1"/>
  <c r="D5" i="43" s="1"/>
  <c r="C94" i="9"/>
  <c r="C92" i="9"/>
  <c r="F30" i="69"/>
  <c r="F48" i="69" s="1"/>
  <c r="M18" i="15"/>
  <c r="F52" i="9"/>
  <c r="C30" i="11"/>
  <c r="F54" i="9"/>
  <c r="F32" i="15"/>
  <c r="F60" i="15" s="1"/>
  <c r="F32" i="67"/>
  <c r="F60" i="67" s="1"/>
  <c r="F28" i="67"/>
  <c r="C28" i="67" s="1"/>
  <c r="C77" i="9"/>
  <c r="C74" i="9" s="1"/>
  <c r="C36" i="11"/>
  <c r="D68" i="9"/>
  <c r="F28" i="15"/>
  <c r="C28" i="15" s="1"/>
  <c r="C48" i="69"/>
  <c r="M18" i="67"/>
  <c r="F31" i="12"/>
  <c r="F30" i="68"/>
  <c r="F53" i="9"/>
  <c r="C31" i="12"/>
  <c r="C21" i="69"/>
  <c r="D22" i="67"/>
  <c r="E2" i="70"/>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68" i="3"/>
  <c r="E146" i="3"/>
  <c r="E111" i="3"/>
  <c r="E73" i="3"/>
  <c r="E54" i="3"/>
  <c r="E106" i="3"/>
  <c r="E72" i="3"/>
  <c r="E55" i="3"/>
  <c r="E475" i="3"/>
  <c r="E454" i="3"/>
  <c r="E433" i="3"/>
  <c r="E496" i="3"/>
  <c r="E471" i="3"/>
  <c r="E468" i="3"/>
  <c r="E450" i="3"/>
  <c r="E429" i="3"/>
  <c r="E537" i="3"/>
  <c r="E577" i="3"/>
  <c r="E571" i="3"/>
  <c r="AE6" i="3"/>
  <c r="W6" i="3"/>
  <c r="E566" i="3"/>
  <c r="E374" i="3"/>
  <c r="E459" i="3"/>
  <c r="E416" i="3"/>
  <c r="E398" i="3"/>
  <c r="E487" i="3"/>
  <c r="E464" i="3"/>
  <c r="E421" i="3"/>
  <c r="E552" i="3"/>
  <c r="E542" i="3"/>
  <c r="AD6" i="3"/>
  <c r="E312" i="3"/>
  <c r="E141" i="3"/>
  <c r="E167" i="3"/>
  <c r="E212" i="3"/>
  <c r="E149" i="3"/>
  <c r="E117" i="3"/>
  <c r="E290" i="3"/>
  <c r="E61" i="3"/>
  <c r="E262" i="3"/>
  <c r="E30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T6" i="3"/>
  <c r="E536" i="3"/>
  <c r="E549" i="3"/>
  <c r="E453" i="3"/>
  <c r="E368" i="3"/>
  <c r="E244" i="3"/>
  <c r="E196" i="3"/>
  <c r="E156"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57" i="40"/>
  <c r="E62" i="39"/>
  <c r="F27" i="6"/>
  <c r="E56" i="39"/>
  <c r="E66" i="39" s="1"/>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16" i="6"/>
  <c r="M14" i="1"/>
  <c r="K16" i="1"/>
  <c r="AQ7" i="1"/>
  <c r="T7" i="1"/>
  <c r="AR7" i="1"/>
  <c r="AY6" i="3"/>
  <c r="E3" i="6"/>
  <c r="O9" i="1"/>
  <c r="P9" i="1" s="1"/>
  <c r="M11" i="1"/>
  <c r="Q16" i="1"/>
  <c r="H16" i="1"/>
  <c r="O12" i="1"/>
  <c r="P12" i="1" s="1"/>
  <c r="O8" i="1"/>
  <c r="P8" i="1" s="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D12" i="52"/>
  <c r="D127" i="9"/>
  <c r="D13" i="52" s="1"/>
  <c r="D68" i="39"/>
  <c r="C70" i="39"/>
  <c r="C5" i="43"/>
  <c r="H75" i="43"/>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17" i="67"/>
  <c r="C16" i="15"/>
  <c r="C14" i="67"/>
  <c r="C14" i="15"/>
  <c r="G1" i="73"/>
  <c r="C17" i="15"/>
  <c r="C16" i="67"/>
  <c r="J7" i="36" l="1"/>
  <c r="C30" i="69"/>
  <c r="F48" i="68"/>
  <c r="C30" i="68"/>
  <c r="C48" i="68"/>
  <c r="AC6" i="3"/>
  <c r="D22" i="43"/>
  <c r="H6" i="3"/>
  <c r="E6" i="3" s="1"/>
  <c r="E27" i="6"/>
  <c r="F31" i="6"/>
  <c r="C15" i="15"/>
  <c r="C18" i="15"/>
  <c r="F27" i="69"/>
  <c r="F28" i="12"/>
  <c r="C29" i="12" s="1"/>
  <c r="D28" i="12" s="1"/>
  <c r="F27"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87" i="3"/>
  <c r="AY51" i="3"/>
  <c r="AY34" i="3"/>
  <c r="AY207" i="3"/>
  <c r="AY144" i="3"/>
  <c r="AY124" i="3"/>
  <c r="AY95" i="3"/>
  <c r="AY42" i="3"/>
  <c r="AY152" i="3"/>
  <c r="AY281" i="3"/>
  <c r="AY111" i="3"/>
  <c r="AY168" i="3"/>
  <c r="AY253" i="3"/>
  <c r="AY236" i="3"/>
  <c r="AY382" i="3"/>
  <c r="AY366"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83" i="3"/>
  <c r="AY23" i="3"/>
  <c r="AY155" i="3"/>
  <c r="AY59" i="3"/>
  <c r="AY131" i="3"/>
  <c r="AY58" i="3"/>
  <c r="AY268" i="3"/>
  <c r="AY371"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66" i="3"/>
  <c r="AY115" i="3"/>
  <c r="AY276" i="3"/>
  <c r="AY225" i="3"/>
  <c r="AY489" i="3"/>
  <c r="AY412" i="3"/>
  <c r="AY43" i="3"/>
  <c r="AY229" i="3"/>
  <c r="AY379" i="3"/>
  <c r="AY326" i="3"/>
  <c r="AY436" i="3"/>
  <c r="AY557" i="3"/>
  <c r="AY540"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6" i="3"/>
  <c r="AY188" i="3"/>
  <c r="AY297" i="3"/>
  <c r="AY335" i="3"/>
  <c r="AY455" i="3"/>
  <c r="AY497" i="3"/>
  <c r="AY116" i="3"/>
  <c r="AY212" i="3"/>
  <c r="AY343" i="3"/>
  <c r="AY478" i="3"/>
  <c r="AY417" i="3"/>
  <c r="AY573"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O14" i="1"/>
  <c r="P14" i="1" s="1"/>
  <c r="O11" i="1"/>
  <c r="M16" i="1"/>
  <c r="D3" i="34"/>
  <c r="D3" i="33"/>
  <c r="E6" i="6"/>
  <c r="D37" i="11"/>
  <c r="C37" i="11" s="1"/>
  <c r="D14" i="12"/>
  <c r="M18" i="9"/>
  <c r="B118" i="9" s="1"/>
  <c r="B14" i="74" s="1"/>
  <c r="B1" i="74" s="1"/>
  <c r="D3" i="21"/>
  <c r="D19" i="11"/>
  <c r="C19" i="11" s="1"/>
  <c r="D3" i="37"/>
  <c r="L18" i="9"/>
  <c r="C17" i="4"/>
  <c r="B4" i="52" s="1"/>
  <c r="B43" i="72" s="1"/>
  <c r="N102" i="43"/>
  <c r="N105" i="43"/>
  <c r="N104" i="43"/>
  <c r="N103" i="43"/>
  <c r="N106" i="43"/>
  <c r="N107" i="43"/>
  <c r="N109" i="43"/>
  <c r="K103" i="43"/>
  <c r="K102" i="43"/>
  <c r="K105" i="43"/>
  <c r="K107" i="43"/>
  <c r="K104" i="43"/>
  <c r="K106" i="43"/>
  <c r="K109"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H102" i="43"/>
  <c r="H103" i="43"/>
  <c r="H104" i="43"/>
  <c r="H109" i="43"/>
  <c r="H106" i="43"/>
  <c r="H107" i="43"/>
  <c r="H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H7" i="36"/>
  <c r="U7" i="36" s="1"/>
  <c r="F7" i="34"/>
  <c r="D70" i="39"/>
  <c r="E68" i="39"/>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U10" i="39"/>
  <c r="W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E41" i="43" l="1"/>
  <c r="C41" i="43" s="1"/>
  <c r="C20" i="43"/>
  <c r="O16" i="1"/>
  <c r="C19" i="15"/>
  <c r="C20" i="15" s="1"/>
  <c r="C26" i="15" s="1"/>
  <c r="AA10" i="40"/>
  <c r="K24" i="6"/>
  <c r="M24" i="6" s="1"/>
  <c r="I24" i="6" s="1"/>
  <c r="S24" i="6" s="1"/>
  <c r="K26" i="6"/>
  <c r="M26" i="6" s="1"/>
  <c r="I26" i="6" s="1"/>
  <c r="S26" i="6" s="1"/>
  <c r="E31" i="6"/>
  <c r="K22" i="6"/>
  <c r="M22" i="6" s="1"/>
  <c r="I22" i="6" s="1"/>
  <c r="S22" i="6" s="1"/>
  <c r="K23" i="6"/>
  <c r="M23" i="6" s="1"/>
  <c r="I23" i="6" s="1"/>
  <c r="S23" i="6" s="1"/>
  <c r="K19" i="6"/>
  <c r="S6" i="1" s="1"/>
  <c r="K20" i="6"/>
  <c r="M20" i="6" s="1"/>
  <c r="I20" i="6" s="1"/>
  <c r="S20" i="6" s="1"/>
  <c r="K21" i="6"/>
  <c r="M21" i="6" s="1"/>
  <c r="I21" i="6" s="1"/>
  <c r="S21" i="6" s="1"/>
  <c r="K25" i="6"/>
  <c r="M25" i="6" s="1"/>
  <c r="I25" i="6" s="1"/>
  <c r="S25" i="6" s="1"/>
  <c r="P11" i="1"/>
  <c r="P16" i="1" s="1"/>
  <c r="C11" i="12" s="1"/>
  <c r="C15" i="12" s="1"/>
  <c r="C20" i="11"/>
  <c r="C28" i="11" s="1"/>
  <c r="C27" i="11" s="1"/>
  <c r="C8" i="74"/>
  <c r="C7" i="74"/>
  <c r="N16" i="1"/>
  <c r="L16" i="1"/>
  <c r="C34" i="11"/>
  <c r="C47" i="11"/>
  <c r="D45" i="11" s="1"/>
  <c r="C29" i="11"/>
  <c r="D27" i="11" s="1"/>
  <c r="F45" i="69"/>
  <c r="C47" i="69"/>
  <c r="D45" i="69" s="1"/>
  <c r="C29" i="69"/>
  <c r="D27" i="69" s="1"/>
  <c r="D17" i="12"/>
  <c r="C17" i="12" s="1"/>
  <c r="C14" i="12"/>
  <c r="D10" i="11"/>
  <c r="C10" i="11" s="1"/>
  <c r="D20" i="12"/>
  <c r="C20" i="12" s="1"/>
  <c r="C18" i="12" s="1"/>
  <c r="D10" i="69"/>
  <c r="D19" i="6"/>
  <c r="D26" i="6"/>
  <c r="C18" i="4"/>
  <c r="D8" i="6"/>
  <c r="D23" i="6"/>
  <c r="D14" i="6"/>
  <c r="D5" i="6"/>
  <c r="D12" i="6"/>
  <c r="D11" i="6"/>
  <c r="D13" i="6"/>
  <c r="D28" i="6"/>
  <c r="E61" i="40"/>
  <c r="H22" i="6"/>
  <c r="H21" i="6"/>
  <c r="H24" i="6"/>
  <c r="D25" i="6"/>
  <c r="D22" i="6"/>
  <c r="R22" i="6" s="1"/>
  <c r="D24" i="6"/>
  <c r="D9" i="6"/>
  <c r="L19" i="9"/>
  <c r="H25" i="6"/>
  <c r="H26" i="6"/>
  <c r="H20" i="6"/>
  <c r="M19" i="9"/>
  <c r="C118" i="9" s="1"/>
  <c r="C14" i="74" s="1"/>
  <c r="B2" i="74" s="1"/>
  <c r="D15" i="6"/>
  <c r="D21" i="6"/>
  <c r="R21" i="6" s="1"/>
  <c r="D20" i="6"/>
  <c r="R20" i="6" s="1"/>
  <c r="D6" i="6"/>
  <c r="D10" i="6"/>
  <c r="D29" i="6"/>
  <c r="H23" i="6"/>
  <c r="F45" i="68"/>
  <c r="C29" i="68"/>
  <c r="D27" i="68" s="1"/>
  <c r="C47" i="68"/>
  <c r="D45" i="68" s="1"/>
  <c r="S6" i="43"/>
  <c r="T6" i="43" s="1"/>
  <c r="V6" i="43" s="1"/>
  <c r="C23" i="43"/>
  <c r="C21" i="43" s="1"/>
  <c r="S7" i="43"/>
  <c r="T7" i="43" s="1"/>
  <c r="V7" i="43" s="1"/>
  <c r="S3" i="43"/>
  <c r="S5" i="43"/>
  <c r="T5" i="43" s="1"/>
  <c r="V5" i="43" s="1"/>
  <c r="S4" i="43"/>
  <c r="S2" i="43"/>
  <c r="T2" i="43" s="1"/>
  <c r="V2" i="43" s="1"/>
  <c r="C115" i="43"/>
  <c r="D113" i="43" s="1"/>
  <c r="U7" i="37"/>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F41" i="15"/>
  <c r="D10" i="68"/>
  <c r="F69" i="15" l="1"/>
  <c r="J29" i="15"/>
  <c r="T4" i="43"/>
  <c r="V4" i="43" s="1"/>
  <c r="T3" i="43"/>
  <c r="V3" i="43" s="1"/>
  <c r="C29" i="43"/>
  <c r="C30" i="43" s="1"/>
  <c r="E30" i="43" s="1"/>
  <c r="C36" i="43"/>
  <c r="T14" i="43"/>
  <c r="V14" i="43" s="1"/>
  <c r="C35" i="43"/>
  <c r="T9" i="43"/>
  <c r="V9" i="43" s="1"/>
  <c r="C37" i="43"/>
  <c r="C34" i="43"/>
  <c r="C33" i="43"/>
  <c r="T11" i="43"/>
  <c r="V11" i="43" s="1"/>
  <c r="T10" i="43"/>
  <c r="V10" i="43" s="1"/>
  <c r="T16" i="43"/>
  <c r="V16" i="43" s="1"/>
  <c r="T13" i="43"/>
  <c r="V13" i="43" s="1"/>
  <c r="T12" i="43"/>
  <c r="V12" i="43" s="1"/>
  <c r="T8" i="43"/>
  <c r="V8" i="43" s="1"/>
  <c r="T15" i="43"/>
  <c r="V15" i="43" s="1"/>
  <c r="C39" i="43"/>
  <c r="C38" i="43"/>
  <c r="AQ6" i="1"/>
  <c r="S16" i="1"/>
  <c r="T6" i="1"/>
  <c r="T16" i="1" s="1"/>
  <c r="AR6" i="1"/>
  <c r="D30" i="6"/>
  <c r="K27" i="6"/>
  <c r="M19" i="6"/>
  <c r="D16" i="6"/>
  <c r="C12" i="12"/>
  <c r="C16" i="12" s="1"/>
  <c r="C21" i="12" s="1"/>
  <c r="C22" i="12" s="1"/>
  <c r="D7" i="74"/>
  <c r="D8" i="74"/>
  <c r="R26" i="6"/>
  <c r="C10" i="68"/>
  <c r="C8" i="68" s="1"/>
  <c r="D19" i="68"/>
  <c r="C38" i="11"/>
  <c r="C35" i="11"/>
  <c r="F50" i="69"/>
  <c r="F50" i="68"/>
  <c r="F50" i="11"/>
  <c r="R25" i="6"/>
  <c r="R24" i="6"/>
  <c r="R23" i="6"/>
  <c r="C4" i="52"/>
  <c r="B45" i="72" s="1"/>
  <c r="A7" i="51"/>
  <c r="B7" i="72" s="1"/>
  <c r="A10" i="51"/>
  <c r="B9" i="72" s="1"/>
  <c r="D27" i="6"/>
  <c r="D31" i="6" s="1"/>
  <c r="C10" i="69"/>
  <c r="C8" i="69" s="1"/>
  <c r="C5" i="69" s="1"/>
  <c r="C23" i="69" s="1"/>
  <c r="D19" i="69"/>
  <c r="C38" i="68"/>
  <c r="C35" i="68"/>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29" i="43" l="1"/>
  <c r="E39" i="43"/>
  <c r="G39" i="43"/>
  <c r="I39" i="43" s="1"/>
  <c r="G33" i="43"/>
  <c r="I33" i="43" s="1"/>
  <c r="E33" i="43"/>
  <c r="E37" i="43"/>
  <c r="G37" i="43"/>
  <c r="I37" i="43" s="1"/>
  <c r="E35" i="43"/>
  <c r="G35" i="43"/>
  <c r="I35" i="43" s="1"/>
  <c r="E36" i="43"/>
  <c r="G36" i="43"/>
  <c r="I36" i="43" s="1"/>
  <c r="E38" i="43"/>
  <c r="G38" i="43"/>
  <c r="I38" i="43" s="1"/>
  <c r="G34" i="43"/>
  <c r="I34" i="43" s="1"/>
  <c r="E34" i="43"/>
  <c r="M27" i="6"/>
  <c r="I19" i="6"/>
  <c r="C30" i="12"/>
  <c r="C28" i="12" s="1"/>
  <c r="C27" i="12"/>
  <c r="C25" i="12" s="1"/>
  <c r="I5" i="6"/>
  <c r="I6" i="6"/>
  <c r="C33" i="11"/>
  <c r="C19" i="68"/>
  <c r="D37" i="68"/>
  <c r="C37" i="68" s="1"/>
  <c r="C33" i="68" s="1"/>
  <c r="C19" i="69"/>
  <c r="C24" i="69" s="1"/>
  <c r="D37" i="69"/>
  <c r="C37" i="69" s="1"/>
  <c r="C33" i="69" s="1"/>
  <c r="H68" i="39"/>
  <c r="G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22" i="11"/>
  <c r="C31" i="11" s="1"/>
  <c r="C36" i="67"/>
  <c r="C33" i="67"/>
  <c r="C31" i="67" s="1"/>
  <c r="J14" i="67"/>
  <c r="C13" i="67"/>
  <c r="J19" i="67"/>
  <c r="J17" i="67" s="1"/>
  <c r="C57" i="67"/>
  <c r="Q49" i="67"/>
  <c r="J59" i="67"/>
  <c r="J60" i="67" s="1"/>
  <c r="C27" i="43" l="1"/>
  <c r="C26" i="43"/>
  <c r="B2" i="43" s="1"/>
  <c r="C6" i="68" s="1"/>
  <c r="C7" i="68" s="1"/>
  <c r="C5" i="68" s="1"/>
  <c r="C23" i="68" s="1"/>
  <c r="C32" i="12"/>
  <c r="B2" i="12" s="1"/>
  <c r="B3" i="12" s="1"/>
  <c r="S19" i="6"/>
  <c r="S27" i="6" s="1"/>
  <c r="H19" i="6"/>
  <c r="I27" i="6"/>
  <c r="C39" i="69"/>
  <c r="C43" i="69" s="1"/>
  <c r="C42" i="69"/>
  <c r="C39" i="68"/>
  <c r="C42" i="68"/>
  <c r="C39" i="11"/>
  <c r="C42" i="11"/>
  <c r="C24" i="68"/>
  <c r="C20" i="69"/>
  <c r="I68" i="39"/>
  <c r="H70" i="39"/>
  <c r="I63" i="40"/>
  <c r="H65" i="40"/>
  <c r="I58" i="21"/>
  <c r="J58" i="21" s="1"/>
  <c r="K58" i="21" s="1"/>
  <c r="L58" i="21" s="1"/>
  <c r="M58" i="21" s="1"/>
  <c r="N58" i="21" s="1"/>
  <c r="O58" i="21" s="1"/>
  <c r="H7" i="21" s="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C20" i="68" l="1"/>
  <c r="C25" i="68" s="1"/>
  <c r="E2" i="76"/>
  <c r="B2" i="76"/>
  <c r="B3" i="43"/>
  <c r="C22" i="68"/>
  <c r="C41" i="69"/>
  <c r="H27" i="6"/>
  <c r="R19" i="6"/>
  <c r="C46" i="11"/>
  <c r="C45" i="11" s="1"/>
  <c r="C43" i="11"/>
  <c r="C41" i="11" s="1"/>
  <c r="C46" i="68"/>
  <c r="C45" i="68" s="1"/>
  <c r="C43" i="68"/>
  <c r="C41" i="68" s="1"/>
  <c r="C46" i="69"/>
  <c r="C45" i="69" s="1"/>
  <c r="C28" i="69"/>
  <c r="C27" i="69" s="1"/>
  <c r="C25" i="69"/>
  <c r="C22" i="69" s="1"/>
  <c r="J68" i="39"/>
  <c r="I70" i="39"/>
  <c r="J7" i="21"/>
  <c r="AC7" i="21" s="1"/>
  <c r="V48" i="21" s="1"/>
  <c r="I48" i="21" s="1"/>
  <c r="U7" i="21"/>
  <c r="AB7" i="21"/>
  <c r="T48" i="21" s="1"/>
  <c r="G48" i="21" s="1"/>
  <c r="S7" i="21"/>
  <c r="AA7" i="21"/>
  <c r="R48" i="21" s="1"/>
  <c r="J63" i="40"/>
  <c r="I65" i="40"/>
  <c r="K48" i="35"/>
  <c r="L48" i="35" s="1"/>
  <c r="M48" i="35" s="1"/>
  <c r="N48" i="35" s="1"/>
  <c r="O48" i="35" s="1"/>
  <c r="H7" i="35" s="1"/>
  <c r="J7" i="35"/>
  <c r="W7" i="21"/>
  <c r="J16" i="67"/>
  <c r="J25" i="67" s="1"/>
  <c r="C80" i="67"/>
  <c r="C79" i="67" s="1"/>
  <c r="C58" i="67"/>
  <c r="C67" i="67" s="1"/>
  <c r="C68" i="67" s="1"/>
  <c r="Q69" i="67"/>
  <c r="Q68" i="67" s="1"/>
  <c r="C40" i="67"/>
  <c r="C28" i="68" l="1"/>
  <c r="C27" i="68" s="1"/>
  <c r="C31" i="68" s="1"/>
  <c r="B3" i="76"/>
  <c r="C49" i="69"/>
  <c r="C51" i="69" s="1"/>
  <c r="C49" i="68"/>
  <c r="C51" i="68" s="1"/>
  <c r="C49" i="11"/>
  <c r="C51" i="11" s="1"/>
  <c r="C52" i="11" s="1"/>
  <c r="B2" i="11" s="1"/>
  <c r="B3" i="11" s="1"/>
  <c r="C31" i="69"/>
  <c r="R27" i="6"/>
  <c r="R6" i="1"/>
  <c r="J70" i="39"/>
  <c r="K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J20" i="15" l="1"/>
  <c r="J17" i="15" s="1"/>
  <c r="J16" i="15" s="1"/>
  <c r="J25" i="15" s="1"/>
  <c r="F63" i="15"/>
  <c r="C62" i="15" s="1"/>
  <c r="C59" i="15" s="1"/>
  <c r="C58" i="15" s="1"/>
  <c r="C67" i="15" s="1"/>
  <c r="C68" i="15" s="1"/>
  <c r="C34" i="15"/>
  <c r="C31" i="15" s="1"/>
  <c r="C30" i="15" s="1"/>
  <c r="C39" i="15" s="1"/>
  <c r="R16" i="1"/>
  <c r="C52" i="69"/>
  <c r="C57" i="69" s="1"/>
  <c r="C56" i="69" s="1"/>
  <c r="C52" i="68"/>
  <c r="C56" i="11"/>
  <c r="C57" i="11" s="1"/>
  <c r="L68" i="39"/>
  <c r="K70"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B2" i="69" l="1"/>
  <c r="B3" i="69" s="1"/>
  <c r="Q67" i="15"/>
  <c r="L57" i="15"/>
  <c r="L60" i="15" s="1"/>
  <c r="C40" i="15"/>
  <c r="C80" i="15"/>
  <c r="C79" i="15" s="1"/>
  <c r="Q69" i="15"/>
  <c r="Q68" i="15" s="1"/>
  <c r="C71" i="15"/>
  <c r="C46" i="15"/>
  <c r="B2" i="68"/>
  <c r="C57" i="68"/>
  <c r="C56" i="68" s="1"/>
  <c r="L70" i="39"/>
  <c r="M68" i="39"/>
  <c r="R39" i="35"/>
  <c r="E38" i="35"/>
  <c r="M63" i="40"/>
  <c r="L65" i="40"/>
  <c r="C19" i="9"/>
  <c r="B3" i="68"/>
  <c r="L46" i="15" l="1"/>
  <c r="B2" i="15" s="1"/>
  <c r="Q66" i="15"/>
  <c r="Q57" i="15"/>
  <c r="Q65" i="15"/>
  <c r="Q47" i="15"/>
  <c r="Q53" i="15" s="1"/>
  <c r="Q56" i="15"/>
  <c r="C43" i="15"/>
  <c r="C83" i="15"/>
  <c r="C82" i="15" s="1"/>
  <c r="C102" i="9"/>
  <c r="C21" i="9"/>
  <c r="N68" i="39"/>
  <c r="M70" i="39"/>
  <c r="C39" i="35"/>
  <c r="B2" i="35" s="1"/>
  <c r="B3" i="35" s="1"/>
  <c r="C38" i="35"/>
  <c r="N63" i="40"/>
  <c r="M65" i="40"/>
  <c r="E43" i="35"/>
  <c r="F43" i="35" s="1"/>
  <c r="E42" i="35"/>
  <c r="F42" i="35" s="1"/>
  <c r="I43" i="35"/>
  <c r="J43" i="35" s="1"/>
  <c r="D19" i="9"/>
  <c r="C20" i="9"/>
  <c r="AO6" i="1"/>
  <c r="C103" i="9" l="1"/>
  <c r="B6" i="70"/>
  <c r="B2" i="70" s="1"/>
  <c r="B3" i="70" s="1"/>
  <c r="D102" i="9"/>
  <c r="D21" i="9"/>
  <c r="D22" i="9"/>
  <c r="G19" i="9"/>
  <c r="B3" i="15"/>
  <c r="Q75" i="15"/>
  <c r="Q62" i="15"/>
  <c r="N70" i="39"/>
  <c r="F7" i="39" s="1"/>
  <c r="O68" i="39"/>
  <c r="O70" i="39" s="1"/>
  <c r="O63" i="40"/>
  <c r="O65" i="40" s="1"/>
  <c r="N65" i="40"/>
  <c r="D20" i="9"/>
  <c r="G21" i="9" l="1"/>
  <c r="D14" i="74"/>
  <c r="G14" i="74" s="1"/>
  <c r="D103" i="9"/>
  <c r="G20" i="9"/>
  <c r="C32" i="9" s="1"/>
  <c r="C35" i="9" s="1"/>
  <c r="C34" i="9" s="1"/>
  <c r="H7" i="39"/>
  <c r="AA7" i="39"/>
  <c r="R47" i="39" s="1"/>
  <c r="S7" i="39"/>
  <c r="J7" i="39"/>
  <c r="J7" i="40"/>
  <c r="F7" i="40"/>
  <c r="H7" i="40"/>
  <c r="W7" i="39" l="1"/>
  <c r="AC7" i="39"/>
  <c r="V47" i="39" s="1"/>
  <c r="I47" i="39" s="1"/>
  <c r="E47" i="39"/>
  <c r="R48" i="39"/>
  <c r="U7" i="39"/>
  <c r="AB7" i="39"/>
  <c r="T47" i="39" s="1"/>
  <c r="G47" i="39" s="1"/>
  <c r="U7" i="40"/>
  <c r="AB7" i="40"/>
  <c r="T42" i="40" s="1"/>
  <c r="G42" i="40" s="1"/>
  <c r="AA7" i="40"/>
  <c r="R42" i="40" s="1"/>
  <c r="S7" i="40"/>
  <c r="AC7" i="40"/>
  <c r="V42" i="40" s="1"/>
  <c r="I42" i="40" s="1"/>
  <c r="W7" i="40"/>
  <c r="G52" i="39" l="1"/>
  <c r="H52" i="39" s="1"/>
  <c r="G51" i="39"/>
  <c r="H51" i="39" s="1"/>
  <c r="C47" i="39"/>
  <c r="C48" i="39"/>
  <c r="I52" i="39"/>
  <c r="J52" i="39" s="1"/>
  <c r="I51" i="39"/>
  <c r="J51" i="39" s="1"/>
  <c r="E51" i="39"/>
  <c r="F51" i="39" s="1"/>
  <c r="E52" i="39"/>
  <c r="F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C5" i="74" s="1"/>
  <c r="E14" i="74"/>
  <c r="D5" i="74" l="1"/>
  <c r="B6" i="74"/>
  <c r="D6" i="74" s="1"/>
  <c r="C6" i="74" l="1"/>
  <c r="D52" i="9"/>
  <c r="D53" i="9"/>
  <c r="N58" i="9"/>
  <c r="P57" i="9"/>
  <c r="I4" i="52"/>
  <c r="C105" i="9"/>
  <c r="H4" i="52"/>
  <c r="C104" i="9"/>
  <c r="N60" i="9"/>
  <c r="N61" i="9"/>
  <c r="B20" i="72"/>
  <c r="M48" i="9"/>
  <c r="N69" i="9"/>
  <c r="B30" i="72"/>
  <c r="M69" i="9"/>
  <c r="C78" i="9"/>
  <c r="C73" i="9"/>
  <c r="C81" i="9"/>
  <c r="B21" i="72"/>
  <c r="M68" i="9"/>
  <c r="B48" i="72"/>
  <c r="M65" i="9"/>
  <c r="N59" i="9"/>
  <c r="L68" i="9"/>
  <c r="L65" i="9"/>
  <c r="E81" i="9"/>
  <c r="E97" i="9"/>
  <c r="D8" i="52"/>
  <c r="B49" i="72"/>
  <c r="M54" i="9"/>
  <c r="E96" i="9"/>
  <c r="C68" i="9"/>
  <c r="D54" i="9"/>
  <c r="L66" i="9"/>
  <c r="M66" i="9"/>
  <c r="H102" i="9"/>
  <c r="D7" i="53"/>
  <c r="F4" i="52"/>
  <c r="B51" i="72"/>
  <c r="D5" i="53"/>
  <c r="D6" i="53"/>
  <c r="B22" i="72"/>
  <c r="F119" i="9"/>
  <c r="F5" i="52"/>
  <c r="B53" i="72"/>
  <c r="D55" i="9"/>
  <c r="M53" i="9"/>
  <c r="N57" i="9"/>
  <c r="D13" i="53"/>
  <c r="D14" i="53"/>
  <c r="B32" i="72"/>
  <c r="E4" i="52"/>
  <c r="B52" i="72"/>
  <c r="L63" i="9"/>
  <c r="M63" i="9"/>
  <c r="D4" i="52"/>
  <c r="B47" i="72"/>
  <c r="C67" i="9"/>
  <c r="D59" i="9"/>
  <c r="M55" i="9"/>
  <c r="L64" i="9"/>
  <c r="M64" i="9"/>
  <c r="C93" i="9"/>
  <c r="C86" i="9"/>
  <c r="M49" i="9"/>
  <c r="L67" i="9"/>
  <c r="M67" i="9"/>
  <c r="H119" i="9"/>
  <c r="H5" i="52"/>
  <c r="C72" i="9"/>
  <c r="C79" i="9"/>
  <c r="C80" i="9"/>
  <c r="E80" i="9"/>
  <c r="H108" i="9"/>
  <c r="D15" i="53"/>
  <c r="B31" i="72"/>
  <c r="H107" i="9"/>
  <c r="D122" i="9"/>
  <c r="D123" i="9"/>
  <c r="D9" i="52"/>
  <c r="E118" i="9"/>
  <c r="D118" i="9"/>
  <c r="D119" i="9"/>
  <c r="D5" i="52"/>
  <c r="C96" i="9"/>
  <c r="C85" i="9"/>
  <c r="C95" i="9"/>
  <c r="C97" i="9"/>
  <c r="D58" i="9"/>
  <c r="D56" i="9"/>
  <c r="F118" i="9"/>
  <c r="G118" i="9"/>
  <c r="G4" i="5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<sst xmlns="http://schemas.openxmlformats.org/spreadsheetml/2006/main" count="7307" uniqueCount="3095">
  <si>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</si>
  <si>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</si>
  <si>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</si>
  <si>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</si>
  <si>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</si>
  <si>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</si>
  <si>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</si>
  <si>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</si>
  <si>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</si>
  <si>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</si>
  <si>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</si>
  <si>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</si>
  <si>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</si>
  <si>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</si>
  <si>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</si>
  <si>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</si>
  <si>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</si>
  <si>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</si>
  <si>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</si>
  <si>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</si>
  <si>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</si>
  <si>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</si>
  <si>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</si>
  <si>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</si>
  <si>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</si>
  <si>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</si>
  <si>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</si>
  <si>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</si>
  <si>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</si>
  <si>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</si>
  <si>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</si>
  <si>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</si>
  <si>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</si>
  <si>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</si>
  <si>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</si>
  <si>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</si>
  <si>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</si>
  <si>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</si>
  <si>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</si>
  <si>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</si>
  <si>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</si>
  <si>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</si>
  <si>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</si>
  <si>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</si>
  <si>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</si>
  <si>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</si>
  <si>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</si>
  <si>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</si>
  <si>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</si>
  <si>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</si>
  <si>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</si>
  <si>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</si>
  <si>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</si>
  <si>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</si>
  <si>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</si>
  <si>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</si>
  <si>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</si>
  <si>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</si>
  <si>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</si>
  <si>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</si>
  <si>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</si>
  <si>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</si>
  <si>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</si>
  <si>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</si>
  <si>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</si>
  <si>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</si>
  <si>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</si>
  <si>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</si>
  <si>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</si>
  <si>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</si>
  <si>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</si>
  <si>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</si>
  <si>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</si>
  <si>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</si>
  <si>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</si>
  <si>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</si>
  <si>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</si>
  <si>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</si>
  <si>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</si>
  <si>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</si>
  <si>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</si>
  <si>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</si>
  <si>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</si>
  <si>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</si>
  <si>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</si>
  <si>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</si>
  <si>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</si>
  <si>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</si>
  <si>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</si>
  <si>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</si>
  <si>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</si>
  <si>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</si>
  <si>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</si>
  <si>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</si>
  <si>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</si>
  <si>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</si>
  <si>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</si>
  <si>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</si>
  <si>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</si>
  <si>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</si>
  <si>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</si>
  <si>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</si>
  <si>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</si>
  <si>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</si>
  <si>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</si>
  <si>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</si>
  <si>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</si>
  <si>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</si>
  <si>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</si>
  <si>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</si>
  <si>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</si>
  <si>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</si>
  <si>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</si>
  <si>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</si>
  <si>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</si>
  <si>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</si>
  <si>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</si>
  <si>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</si>
  <si>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</si>
  <si>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</si>
  <si>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</si>
  <si>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</si>
  <si>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</si>
  <si>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</si>
  <si>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</si>
  <si>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</si>
  <si>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</si>
  <si>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</si>
  <si>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</si>
  <si>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</si>
  <si>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</si>
  <si>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</si>
  <si>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</si>
  <si>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</si>
  <si>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</si>
  <si>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</si>
  <si>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</si>
  <si>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</si>
  <si>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</si>
  <si>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</si>
  <si>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</si>
  <si>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</si>
  <si>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</si>
  <si>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</si>
  <si>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</si>
  <si>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</si>
  <si>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</si>
  <si>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</si>
  <si>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</si>
  <si>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</si>
  <si>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</si>
  <si>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</si>
  <si>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</si>
  <si>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</si>
  <si>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</si>
  <si>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</si>
  <si>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</si>
  <si>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</si>
  <si>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</si>
  <si>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</si>
  <si>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</si>
  <si>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</si>
  <si>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</si>
  <si>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</si>
  <si>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</si>
  <si>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</si>
  <si>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</si>
  <si>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</si>
  <si>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</si>
  <si>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</si>
  <si>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</si>
  <si>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</si>
  <si>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</si>
  <si>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</si>
  <si>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</si>
  <si>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</si>
  <si>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</si>
  <si>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</si>
  <si>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</si>
  <si>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</si>
  <si>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</si>
  <si>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</si>
  <si>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</si>
  <si>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</si>
  <si>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</si>
  <si>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</si>
  <si>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</si>
  <si>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</si>
  <si>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</si>
  <si>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</si>
  <si>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</si>
  <si>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</si>
  <si>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</si>
  <si>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</si>
  <si>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</si>
  <si>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</si>
  <si>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</si>
  <si>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</si>
  <si>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</si>
  <si>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</si>
  <si>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</si>
  <si>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</si>
  <si>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</si>
  <si>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</si>
  <si>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</si>
  <si>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</si>
  <si>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</si>
  <si>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</si>
  <si>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</si>
  <si>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</si>
  <si>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</si>
  <si>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</si>
  <si>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</si>
  <si>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</si>
  <si>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</si>
  <si>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</si>
  <si>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</si>
  <si>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</si>
  <si>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</si>
  <si>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</si>
  <si>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</si>
  <si>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</si>
  <si>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</si>
  <si>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</si>
  <si>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</si>
  <si>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</si>
  <si>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</si>
  <si>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</si>
  <si>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</si>
  <si>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</si>
  <si>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</si>
  <si>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</si>
  <si>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</si>
  <si>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</si>
  <si>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</si>
  <si>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</si>
  <si>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</si>
  <si>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</si>
  <si>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</si>
  <si>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</si>
  <si>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</si>
  <si>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</si>
  <si>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</si>
  <si>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</si>
  <si>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</si>
  <si>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</si>
  <si>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</si>
  <si>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</si>
  <si>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</si>
  <si>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</si>
  <si>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</si>
  <si>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</si>
  <si>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</si>
  <si>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</si>
  <si>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</si>
  <si>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</si>
  <si>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</si>
  <si>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</si>
  <si>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</si>
  <si>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</si>
  <si>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</si>
  <si>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</si>
  <si>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</si>
  <si>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</si>
  <si>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</si>
  <si>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</si>
  <si>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</si>
  <si>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</si>
  <si>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</si>
  <si>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</si>
  <si>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</si>
  <si>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</si>
  <si>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</si>
  <si>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</si>
  <si>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</si>
  <si>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</si>
  <si>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</si>
  <si>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</si>
  <si>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</si>
  <si>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</si>
  <si>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</si>
  <si>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</si>
  <si>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</si>
  <si>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</si>
  <si>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</si>
  <si>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</si>
  <si>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</si>
  <si>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</si>
  <si>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</si>
  <si>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</si>
  <si>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</si>
  <si>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</si>
  <si>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</si>
  <si>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</si>
  <si>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</si>
  <si>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</si>
  <si>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</si>
  <si>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</si>
  <si>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</si>
  <si>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</si>
  <si>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</si>
  <si>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</si>
  <si>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</si>
  <si>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</si>
  <si>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</si>
  <si>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</si>
  <si>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</si>
  <si>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</si>
  <si>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</si>
  <si>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</si>
  <si>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</si>
  <si>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</si>
  <si>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</si>
  <si>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</si>
  <si>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</si>
  <si>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</si>
  <si>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</si>
  <si>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</si>
  <si>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</si>
  <si>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</si>
  <si>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</si>
  <si>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</si>
  <si>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</si>
  <si>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</si>
  <si>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</si>
  <si>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</si>
  <si>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</si>
  <si>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</si>
  <si>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</si>
  <si>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</si>
  <si>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</si>
  <si>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</si>
  <si>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</si>
  <si>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</si>
  <si>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</si>
  <si>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</si>
  <si>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</si>
  <si>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</si>
  <si>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</si>
  <si>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</si>
  <si>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</si>
  <si>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</si>
  <si>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</si>
  <si>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</si>
  <si>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</si>
  <si>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</si>
  <si>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</si>
  <si>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</si>
  <si>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</si>
  <si>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</si>
  <si>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</si>
  <si>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</si>
  <si>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</si>
  <si>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</si>
  <si>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</si>
  <si>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</si>
  <si>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</si>
  <si>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</si>
  <si>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</si>
  <si>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</si>
  <si>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</si>
  <si>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</si>
  <si>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</si>
  <si>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</si>
  <si>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</si>
  <si>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</si>
  <si>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</si>
  <si>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</si>
  <si>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</si>
  <si>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</si>
  <si>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</si>
  <si>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</si>
  <si>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</si>
  <si>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</si>
  <si>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</si>
  <si>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</si>
  <si>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</si>
  <si>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</si>
  <si>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</si>
  <si>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</si>
  <si>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</si>
  <si>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</si>
  <si>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</si>
  <si>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</si>
  <si>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</si>
  <si>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</si>
  <si>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</si>
  <si>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</si>
  <si>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</si>
  <si>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</si>
  <si>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</si>
  <si>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</si>
  <si>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</si>
  <si>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</si>
  <si>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</si>
  <si>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</si>
  <si>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</si>
  <si>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</si>
  <si>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</si>
  <si>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</si>
  <si>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</si>
  <si>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</si>
  <si>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</si>
  <si>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</si>
  <si>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</si>
  <si>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</si>
  <si>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</si>
  <si>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</si>
  <si>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</si>
  <si>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</si>
  <si>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</si>
  <si>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</si>
  <si>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</si>
  <si>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</si>
  <si>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</si>
  <si>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</si>
  <si>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</si>
  <si>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</si>
  <si>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</si>
  <si>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</si>
  <si>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</si>
  <si>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</si>
  <si>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</si>
  <si>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</si>
  <si>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</si>
  <si>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</si>
  <si>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</si>
  <si>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</si>
  <si>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</si>
  <si>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</si>
  <si>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</si>
  <si>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</si>
  <si>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</si>
  <si>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</si>
  <si>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</si>
  <si>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</si>
  <si>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</si>
  <si>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</si>
  <si>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</si>
  <si>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</si>
  <si>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</si>
  <si>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</si>
  <si>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</si>
  <si>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</si>
  <si>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</si>
  <si>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</si>
  <si>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</si>
  <si>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</si>
  <si>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</si>
  <si>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</si>
  <si>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</si>
  <si>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</si>
  <si>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</si>
  <si>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</si>
  <si>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</si>
  <si>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</si>
  <si>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</si>
  <si>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</si>
  <si>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</si>
  <si>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</si>
  <si>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</si>
  <si>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</si>
  <si>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</si>
  <si>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</si>
  <si>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</si>
  <si>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</si>
  <si>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</si>
  <si>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</si>
  <si>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</si>
  <si>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</si>
  <si>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</si>
  <si>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</si>
  <si>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</si>
  <si>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</si>
  <si>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</si>
  <si>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</si>
  <si>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</si>
  <si>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</si>
  <si>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</si>
  <si>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</si>
  <si>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</si>
  <si>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</si>
  <si>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</si>
  <si>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</si>
  <si>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</si>
  <si>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</si>
  <si>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</si>
  <si>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</si>
  <si>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</si>
  <si>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</si>
  <si>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</si>
  <si>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</si>
  <si>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</si>
  <si>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</si>
  <si>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</si>
  <si>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</si>
  <si>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</si>
  <si>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</si>
  <si>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</si>
  <si>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</si>
  <si>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</si>
  <si>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</si>
  <si>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</si>
  <si>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</si>
  <si>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</si>
  <si>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</si>
  <si>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</si>
  <si>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</si>
  <si>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</si>
  <si>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</si>
  <si>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</si>
  <si>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</si>
  <si>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</si>
  <si>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</si>
  <si>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</si>
  <si>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</si>
  <si>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</si>
  <si>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</si>
  <si>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</si>
  <si>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</si>
  <si>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</si>
  <si>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</si>
  <si>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</si>
  <si>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</si>
  <si>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</si>
  <si>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</si>
  <si>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</si>
  <si>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</si>
  <si>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</si>
  <si>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</si>
  <si>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</si>
  <si>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</si>
  <si>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</si>
  <si>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</si>
  <si>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</si>
  <si>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</si>
  <si>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</si>
  <si>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</si>
  <si>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</si>
  <si>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</si>
  <si>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</si>
  <si>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</si>
  <si>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</si>
  <si>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</si>
  <si>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</si>
  <si>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</si>
  <si>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</si>
  <si>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</si>
  <si>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</si>
  <si>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</si>
  <si>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</si>
  <si>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</si>
  <si>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</si>
  <si>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</si>
  <si>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</si>
  <si>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</si>
  <si>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</si>
  <si>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</si>
  <si>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</si>
  <si>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</si>
  <si>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</si>
  <si>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</si>
  <si>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</si>
  <si>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</si>
  <si>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</si>
  <si>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</si>
  <si>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</si>
  <si>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</si>
  <si>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</si>
  <si>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</si>
  <si>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</si>
  <si>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</si>
  <si>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</si>
  <si>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</si>
  <si>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</si>
  <si>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</si>
  <si>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</si>
  <si>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</si>
  <si>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</si>
  <si>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</si>
  <si>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</si>
  <si>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</si>
  <si>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</si>
  <si>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</si>
  <si>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</si>
  <si>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</si>
  <si>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</si>
  <si>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</si>
  <si>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</si>
  <si>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</si>
  <si>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</si>
  <si>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</si>
  <si>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</si>
  <si>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</si>
  <si>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</si>
  <si>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</si>
  <si>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</si>
  <si>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</si>
  <si>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</si>
  <si>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</si>
  <si>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</si>
  <si>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</si>
  <si>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</si>
  <si>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</si>
  <si>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</si>
  <si>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</si>
  <si>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</si>
  <si>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</si>
  <si>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</si>
  <si>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</si>
  <si>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</si>
  <si>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</si>
  <si>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</si>
  <si>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</si>
  <si>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</si>
  <si>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</si>
  <si>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</si>
  <si>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</si>
  <si>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</si>
  <si>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</si>
  <si>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</si>
  <si>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</si>
  <si>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</si>
  <si>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</si>
  <si>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</si>
  <si>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</si>
  <si>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</si>
  <si>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</si>
  <si>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</si>
  <si>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</si>
  <si>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</si>
  <si>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</si>
  <si>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</si>
  <si>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</si>
  <si>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</si>
  <si>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</si>
  <si>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</si>
  <si>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</si>
  <si>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</si>
  <si>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</si>
  <si>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</si>
  <si>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</si>
  <si>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</si>
  <si>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</si>
  <si>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</si>
  <si>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</si>
  <si>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</si>
  <si>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</si>
  <si>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</si>
  <si>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</si>
  <si>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</si>
  <si>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</si>
  <si>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</si>
  <si>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</si>
  <si>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</si>
  <si>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</si>
  <si>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</si>
  <si>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</si>
  <si>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</si>
  <si>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</si>
  <si>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</si>
  <si>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</si>
  <si>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</si>
  <si>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</si>
  <si>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</si>
  <si>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</si>
  <si>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</si>
  <si>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</si>
  <si>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</si>
  <si>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</si>
  <si>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</si>
  <si>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</si>
  <si>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</si>
  <si>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</si>
  <si>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</si>
  <si>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</si>
  <si>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</si>
  <si>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</si>
  <si>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</si>
  <si>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</si>
  <si>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</si>
  <si>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</si>
  <si>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</si>
  <si>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</si>
  <si>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</si>
  <si>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</si>
  <si>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</si>
  <si>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</si>
  <si>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</si>
  <si>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</si>
  <si>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</si>
  <si>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</si>
  <si>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</si>
  <si>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</si>
  <si>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</si>
  <si>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</si>
  <si>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</si>
  <si>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</si>
  <si>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</si>
  <si>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</si>
  <si>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</si>
  <si>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</si>
  <si>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</si>
  <si>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</si>
  <si>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</si>
  <si>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</si>
  <si>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</si>
  <si>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</si>
  <si>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</si>
  <si>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</si>
  <si>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</si>
  <si>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</si>
  <si>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</si>
  <si>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</si>
  <si>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</si>
  <si>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</si>
  <si>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</si>
  <si>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</si>
  <si>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</si>
  <si>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</si>
  <si>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</si>
  <si>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</si>
  <si>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</si>
  <si>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</si>
  <si>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</si>
  <si>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</si>
  <si>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</si>
  <si>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</si>
  <si>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</si>
  <si>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</si>
  <si>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</si>
  <si>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</si>
  <si>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</si>
  <si>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</si>
  <si>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</si>
  <si>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</si>
  <si>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</si>
  <si>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</si>
  <si>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</si>
  <si>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</si>
  <si>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</si>
  <si>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</si>
  <si>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</si>
  <si>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</si>
  <si>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</si>
  <si>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</si>
  <si>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</si>
  <si>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</si>
  <si>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</si>
  <si>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</si>
  <si>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</si>
  <si>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</si>
  <si>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</si>
  <si>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</si>
  <si>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</si>
  <si>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</si>
  <si>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</si>
  <si>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</si>
  <si>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</si>
  <si>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</si>
  <si>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</si>
  <si>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</si>
  <si>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</si>
  <si>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</si>
  <si>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</si>
  <si>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</si>
  <si>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</si>
  <si>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</si>
  <si>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</si>
  <si>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</si>
  <si>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</si>
  <si>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</si>
  <si>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</si>
  <si>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</si>
  <si>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</si>
  <si>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</si>
  <si>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</si>
  <si>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</si>
  <si>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</si>
  <si>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</si>
  <si>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</si>
  <si>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</si>
  <si>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</si>
  <si>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</si>
  <si>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</si>
  <si>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</si>
  <si>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</si>
  <si>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</si>
  <si>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</si>
  <si>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</si>
  <si>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</si>
  <si>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</si>
  <si>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</si>
  <si>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</si>
  <si>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</si>
  <si>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</si>
  <si>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</si>
  <si>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</si>
  <si>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</si>
  <si>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</si>
  <si>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</si>
  <si>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</si>
  <si>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</si>
  <si>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</si>
  <si>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</si>
  <si>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</si>
  <si>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</si>
  <si>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</si>
  <si>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</si>
  <si>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</si>
  <si>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</si>
  <si>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</si>
  <si>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</si>
  <si>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</si>
  <si>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</si>
  <si>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</si>
  <si>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</si>
  <si>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</si>
  <si>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</si>
  <si>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</si>
  <si>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</si>
  <si>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</si>
  <si>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</si>
  <si>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</si>
  <si>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</si>
  <si>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</si>
  <si>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</si>
  <si>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</si>
  <si>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</si>
  <si>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</si>
  <si>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</si>
  <si>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</si>
  <si>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</si>
  <si>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</si>
  <si>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</si>
  <si>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</si>
  <si>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</si>
  <si>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</si>
  <si>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</si>
  <si>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</si>
  <si>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</si>
  <si>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</si>
  <si>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</si>
  <si>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</si>
  <si>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</si>
  <si>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</si>
  <si>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</si>
  <si>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</si>
  <si>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</si>
  <si>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</si>
  <si>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</si>
  <si>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</si>
  <si>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</si>
  <si>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</si>
  <si>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</si>
  <si>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</si>
  <si>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</si>
  <si>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</si>
  <si>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</si>
  <si>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</si>
  <si>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</si>
  <si>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</si>
  <si>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</si>
  <si>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</si>
  <si>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</si>
  <si>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</si>
  <si>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</si>
  <si>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</si>
  <si>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</si>
  <si>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</si>
  <si>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</si>
  <si>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</si>
  <si>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</si>
  <si>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</si>
  <si>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</si>
  <si>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</si>
  <si>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</si>
  <si>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</si>
  <si>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</si>
  <si>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</si>
  <si>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</si>
  <si>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</si>
  <si>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</si>
  <si>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</si>
  <si>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</si>
  <si>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</si>
  <si>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</si>
  <si>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</si>
  <si>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</si>
  <si>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</si>
  <si>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</si>
  <si>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</si>
  <si>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</si>
  <si>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</si>
  <si>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</si>
  <si>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</si>
  <si>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</si>
  <si>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</si>
  <si>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</si>
  <si>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</si>
  <si>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</si>
  <si>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</si>
  <si>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</si>
  <si>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</si>
  <si>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</si>
  <si>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</si>
  <si>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</si>
  <si>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</si>
  <si>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</si>
  <si>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</si>
  <si>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</si>
  <si>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</si>
  <si>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</si>
  <si>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</si>
  <si>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</si>
  <si>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</si>
  <si>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</si>
  <si>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</si>
  <si>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</si>
  <si>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</si>
  <si>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</si>
  <si>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</si>
  <si>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</si>
  <si>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</si>
  <si>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</si>
  <si>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</si>
  <si>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</si>
  <si>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</si>
  <si>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</si>
  <si>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</si>
  <si>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</si>
  <si>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</si>
  <si>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</si>
  <si>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</si>
  <si>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</si>
  <si>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</si>
  <si>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</si>
  <si>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</si>
  <si>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</si>
  <si>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</si>
  <si>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</si>
  <si>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</si>
  <si>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</si>
  <si>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</si>
  <si>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</si>
  <si>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</si>
  <si>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</si>
  <si>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</si>
  <si>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</si>
  <si>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</si>
  <si>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</si>
  <si>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</si>
  <si>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</si>
  <si>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</si>
  <si>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</si>
  <si>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</si>
  <si>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</si>
  <si>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</si>
  <si>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</si>
  <si>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</si>
  <si>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</si>
  <si>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</si>
  <si>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</si>
  <si>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</si>
  <si>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</si>
  <si>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</si>
  <si>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</si>
  <si>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</si>
  <si>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</si>
  <si>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</si>
  <si>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</si>
  <si>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</si>
  <si>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</si>
  <si>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</si>
  <si>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</si>
  <si>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</si>
  <si>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</si>
  <si>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</si>
  <si>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</si>
  <si>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</si>
  <si>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</si>
  <si>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</si>
  <si>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</si>
  <si>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</si>
  <si>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</si>
  <si>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</si>
  <si>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</si>
  <si>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</si>
  <si>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</si>
  <si>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</si>
  <si>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</si>
  <si>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</si>
  <si>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</si>
  <si>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</si>
  <si>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</si>
  <si>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</si>
  <si>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</si>
  <si>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</si>
  <si>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</si>
  <si>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</si>
  <si>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</si>
  <si>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</si>
  <si>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</si>
  <si>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</si>
  <si>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</si>
  <si>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</si>
  <si>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</si>
  <si>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</si>
  <si>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</si>
  <si>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</si>
  <si>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</si>
  <si>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</si>
  <si>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</si>
  <si>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</si>
  <si>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</si>
  <si>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</si>
  <si>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</si>
  <si>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</si>
  <si>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</si>
  <si>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</si>
  <si>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</si>
  <si>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</si>
  <si>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</si>
  <si>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</si>
  <si>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</si>
  <si>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</si>
  <si>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</si>
  <si>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</si>
  <si>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</si>
  <si>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</si>
  <si>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</si>
  <si>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</si>
  <si>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</si>
  <si>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</si>
  <si>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</si>
  <si>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</si>
  <si>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</si>
  <si>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</si>
  <si>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</si>
  <si>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</si>
  <si>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</si>
  <si>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</si>
  <si>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</si>
  <si>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</si>
  <si>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</si>
  <si>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</si>
  <si>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</si>
  <si>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</si>
  <si>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</si>
  <si>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</si>
  <si>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</si>
  <si>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</si>
  <si>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</si>
  <si>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</si>
  <si>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</si>
  <si>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</si>
  <si>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</si>
  <si>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</si>
  <si>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</si>
  <si>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</si>
  <si>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</si>
  <si>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</si>
  <si>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</si>
  <si>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</si>
  <si>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</si>
  <si>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</si>
  <si>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</si>
  <si>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</si>
  <si>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</si>
  <si>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</si>
  <si>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</si>
  <si>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</si>
  <si>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</si>
  <si>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</si>
  <si>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</si>
  <si>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</si>
  <si>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</si>
  <si>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</si>
  <si>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</si>
  <si>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</si>
  <si>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</si>
  <si>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</si>
  <si>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</si>
  <si>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</si>
  <si>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</si>
  <si>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</si>
  <si>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</si>
  <si>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</si>
  <si>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</si>
  <si>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</si>
  <si>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</si>
  <si>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</si>
  <si>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</si>
  <si>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</si>
  <si>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</si>
  <si>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</si>
  <si>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</si>
  <si>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</si>
  <si>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</si>
  <si>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</si>
  <si>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</si>
  <si>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</si>
  <si>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</si>
  <si>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</si>
  <si>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</si>
  <si>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</si>
  <si>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</si>
  <si>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</si>
  <si>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</si>
  <si>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</si>
  <si>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</si>
  <si>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</si>
  <si>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</si>
  <si>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</si>
  <si>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</si>
  <si>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</si>
  <si>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</si>
  <si>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</si>
  <si>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</si>
  <si>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</si>
  <si>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</si>
  <si>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</si>
  <si>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</si>
  <si>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</si>
  <si>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</si>
  <si>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</si>
  <si>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</si>
  <si>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</si>
  <si>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</si>
  <si>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</si>
  <si>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</si>
  <si>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</si>
  <si>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</si>
  <si>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</si>
  <si>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</si>
  <si>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</si>
  <si>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</si>
  <si>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</si>
  <si>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</si>
  <si>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</si>
  <si>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</si>
  <si>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</si>
  <si>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</si>
  <si>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</si>
  <si>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</si>
  <si>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</si>
  <si>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</si>
  <si>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</si>
  <si>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</si>
  <si>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</si>
  <si>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</si>
  <si>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</si>
  <si>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</si>
  <si>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</si>
  <si>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</si>
  <si>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</si>
  <si>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</si>
  <si>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</si>
  <si>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</si>
  <si>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</si>
  <si>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</si>
  <si>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</si>
  <si>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</si>
  <si>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</si>
  <si>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</si>
  <si>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</si>
  <si>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</si>
  <si>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</si>
  <si>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</si>
  <si>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</si>
  <si>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</si>
  <si>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</si>
  <si>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</si>
  <si>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</si>
  <si>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</si>
  <si>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</si>
  <si>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</si>
  <si>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</si>
  <si>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</si>
  <si>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</si>
  <si>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</si>
  <si>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</si>
  <si>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</si>
  <si>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</si>
  <si>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</si>
  <si>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</si>
  <si>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</si>
  <si>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</si>
  <si>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</si>
  <si>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</si>
  <si>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</si>
  <si>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</si>
  <si>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</si>
  <si>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</si>
  <si>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</si>
  <si>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</si>
  <si>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</si>
  <si>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</si>
  <si>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</si>
  <si>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</si>
  <si>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</si>
  <si>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</si>
  <si>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</si>
  <si>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</si>
  <si>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</si>
  <si>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</si>
  <si>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</si>
  <si>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</si>
  <si>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</si>
  <si>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</si>
  <si>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</si>
  <si>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</si>
  <si>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</si>
  <si>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</si>
  <si>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</si>
  <si>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</si>
  <si>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</si>
  <si>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</si>
  <si>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</si>
  <si>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</si>
  <si>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</si>
  <si>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</si>
  <si>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</si>
  <si>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</si>
  <si>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</si>
  <si>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</si>
  <si>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</si>
  <si>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</si>
  <si>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</si>
  <si>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</si>
  <si>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</si>
  <si>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</si>
  <si>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</si>
  <si>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</si>
  <si>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</si>
  <si>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</si>
  <si>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</si>
  <si>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</si>
  <si>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</si>
  <si>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</si>
  <si>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</si>
  <si>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</si>
  <si>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</si>
  <si>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</si>
  <si>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</si>
  <si>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</si>
  <si>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</si>
  <si>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</si>
  <si>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</si>
  <si>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</si>
  <si>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</si>
  <si>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</si>
  <si>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</si>
  <si>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</si>
  <si>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</si>
  <si>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</si>
  <si>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</si>
  <si>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</si>
  <si>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</si>
  <si>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</si>
  <si>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</si>
  <si>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</si>
  <si>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</si>
  <si>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</si>
  <si>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</si>
  <si>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</si>
  <si>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</si>
  <si>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</si>
  <si>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</si>
  <si>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</si>
  <si>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</si>
  <si>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</si>
  <si>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</si>
  <si>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</si>
  <si>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</si>
  <si>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</si>
  <si>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</si>
  <si>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</si>
  <si>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</si>
  <si>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</si>
  <si>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</si>
  <si>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</si>
  <si>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</si>
  <si>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</si>
  <si>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</si>
  <si>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</si>
  <si>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</si>
  <si>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</si>
  <si>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</si>
  <si>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</si>
  <si>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</si>
  <si>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</si>
  <si>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</si>
  <si>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</si>
  <si>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</si>
  <si>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</si>
  <si>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</si>
  <si>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</si>
  <si>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</si>
  <si>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</si>
  <si>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</si>
  <si>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</si>
  <si>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</si>
  <si>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</si>
  <si>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</si>
  <si>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</si>
  <si>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</si>
  <si>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</si>
  <si>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</si>
  <si>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</si>
  <si>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</si>
  <si>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</si>
  <si>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</si>
  <si>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</si>
  <si>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</si>
  <si>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</si>
  <si>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</si>
  <si>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</si>
  <si>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</si>
  <si>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</si>
  <si>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</si>
  <si>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</si>
  <si>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</si>
  <si>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</si>
  <si>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</si>
  <si>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</si>
  <si>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</si>
  <si>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</si>
  <si>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</si>
  <si>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</si>
  <si>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</si>
  <si>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</si>
  <si>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</si>
  <si>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</si>
  <si>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</si>
  <si>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</si>
  <si>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</si>
  <si>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</si>
  <si>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</si>
  <si>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</si>
  <si>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</si>
  <si>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</si>
  <si>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</si>
  <si>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</si>
  <si>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</si>
  <si>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</si>
  <si>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</si>
  <si>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</si>
  <si>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</si>
  <si>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</si>
  <si>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</si>
  <si>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</si>
  <si>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</si>
  <si>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</si>
  <si>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</si>
  <si>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</si>
  <si>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</si>
  <si>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</si>
  <si>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</si>
  <si>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</si>
  <si>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</si>
  <si>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</si>
  <si>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</si>
  <si>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</si>
  <si>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</si>
  <si>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</si>
  <si>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</si>
  <si>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</si>
  <si>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</si>
  <si>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</si>
  <si>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</si>
  <si>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</si>
  <si>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</si>
  <si>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</si>
  <si>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</si>
  <si>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</si>
  <si>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</si>
  <si>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</si>
  <si>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</si>
  <si>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</si>
  <si>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</si>
  <si>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</si>
  <si>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</si>
  <si>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</si>
  <si>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</si>
  <si>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</si>
  <si>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</si>
  <si>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</si>
  <si>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</si>
  <si>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</si>
  <si>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</si>
  <si>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</si>
  <si>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</si>
  <si>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</si>
  <si>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</si>
  <si>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</si>
  <si>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</si>
  <si>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</si>
  <si>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</si>
  <si>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</si>
  <si>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</si>
  <si>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</si>
  <si>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</si>
  <si>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</si>
  <si>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</si>
  <si>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</si>
  <si>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</si>
  <si>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</si>
  <si>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</si>
  <si>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</si>
  <si>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</si>
  <si>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</si>
  <si>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</si>
  <si>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</si>
  <si>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</si>
  <si>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</si>
  <si>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</si>
  <si>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</si>
  <si>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</si>
  <si>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</si>
  <si>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</si>
  <si>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</si>
  <si>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</si>
  <si>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</si>
  <si>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</si>
  <si>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</si>
  <si>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</si>
  <si>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</si>
  <si>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</si>
  <si>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</si>
  <si>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</si>
  <si>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</si>
  <si>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</si>
  <si>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</si>
  <si>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</si>
  <si>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</si>
  <si>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</si>
  <si>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</si>
  <si>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</si>
  <si>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</si>
  <si>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</si>
  <si>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</si>
  <si>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</si>
  <si>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</si>
  <si>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</si>
  <si>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</si>
  <si>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</si>
  <si>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</si>
  <si>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</si>
  <si>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</si>
  <si>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</si>
  <si>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</si>
  <si>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</si>
  <si>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</si>
  <si>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</si>
  <si>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</si>
  <si>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</si>
  <si>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</si>
  <si>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</si>
  <si>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</si>
  <si>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</si>
  <si>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</si>
  <si>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</si>
  <si>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</si>
  <si>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</si>
  <si>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</si>
  <si>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</si>
  <si>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</si>
  <si>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</si>
  <si>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</si>
  <si>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</si>
  <si>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</si>
  <si>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</si>
  <si>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</si>
  <si>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</si>
  <si>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</si>
  <si>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</si>
  <si>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</si>
  <si>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</si>
  <si>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</si>
  <si>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</si>
  <si>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</si>
  <si>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</si>
  <si>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</si>
  <si>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</si>
  <si>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</si>
  <si>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</si>
  <si>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</si>
  <si>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</si>
  <si>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</si>
  <si>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</si>
  <si>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</si>
  <si>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</si>
  <si>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</si>
  <si>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</si>
  <si>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</si>
  <si>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</si>
  <si>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</si>
  <si>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</si>
  <si>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</si>
  <si>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</si>
  <si>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</si>
  <si>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</si>
  <si>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</si>
  <si>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</si>
  <si>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</si>
  <si>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</si>
  <si>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</si>
  <si>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</si>
  <si>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</si>
  <si>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</si>
  <si>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</si>
  <si>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</si>
  <si>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</si>
  <si>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</si>
  <si>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</si>
  <si>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</si>
  <si>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</si>
  <si>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</si>
  <si>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</si>
  <si>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</si>
  <si>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</si>
  <si>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</si>
  <si>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</si>
  <si>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</si>
  <si>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</si>
  <si>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</si>
  <si>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</si>
  <si>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</si>
  <si>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</si>
  <si>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</si>
  <si>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</si>
  <si>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</si>
  <si>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</si>
  <si>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</si>
  <si>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</si>
  <si>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</si>
  <si>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</si>
  <si>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</si>
  <si>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</si>
  <si>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</si>
  <si>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</si>
  <si>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</si>
  <si>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</si>
  <si>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</si>
  <si>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</si>
  <si>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</si>
  <si>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</si>
  <si>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</si>
  <si>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</si>
  <si>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</si>
  <si>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</si>
  <si>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</si>
  <si>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</si>
  <si>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</si>
  <si>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</si>
  <si>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</si>
  <si>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</si>
  <si>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</si>
  <si>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</si>
  <si>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</si>
  <si>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</si>
  <si>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</si>
  <si>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</si>
  <si>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</si>
  <si>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</si>
  <si>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</si>
  <si>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</si>
  <si>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</si>
  <si>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</si>
  <si>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</si>
  <si>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</si>
  <si>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</si>
  <si>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</si>
  <si>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</si>
  <si>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</si>
  <si>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</si>
  <si>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</si>
  <si>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</si>
  <si>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</si>
  <si>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</si>
  <si>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</si>
  <si>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</si>
  <si>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</si>
  <si>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</si>
  <si>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</si>
  <si>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</si>
  <si>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</si>
  <si>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</si>
  <si>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</si>
  <si>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</si>
  <si>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</si>
  <si>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</si>
  <si>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</si>
  <si>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</si>
  <si>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</si>
  <si>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</si>
  <si>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</si>
  <si>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</si>
  <si>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</si>
  <si>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</si>
  <si>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</si>
  <si>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</si>
  <si>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</si>
  <si>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</si>
  <si>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</si>
  <si>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</si>
  <si>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</si>
  <si>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</si>
  <si>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</si>
  <si>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</si>
  <si>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</si>
  <si>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</si>
  <si>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</si>
  <si>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</si>
  <si>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</si>
  <si>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</si>
  <si>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</si>
  <si>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</si>
  <si>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</si>
  <si>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</si>
  <si>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</si>
  <si>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</si>
  <si>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</si>
  <si>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</si>
  <si>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</si>
  <si>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</si>
  <si>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</si>
  <si>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</si>
  <si>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</si>
  <si>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</si>
  <si>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</si>
  <si>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</si>
  <si>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</si>
  <si>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</si>
  <si>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</si>
  <si>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</si>
  <si>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</si>
  <si>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</si>
  <si>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</si>
  <si>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</si>
  <si>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</si>
  <si>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</si>
  <si>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</si>
  <si>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</si>
  <si>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</si>
  <si>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</si>
  <si>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</si>
  <si>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</si>
  <si>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</si>
  <si>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</si>
  <si>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</si>
  <si>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</si>
  <si>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</si>
  <si>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</si>
  <si>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</si>
  <si>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</si>
  <si>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</si>
  <si>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</si>
  <si>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</si>
  <si>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</si>
  <si>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</si>
  <si>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</si>
  <si>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</si>
  <si>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</si>
  <si>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</si>
  <si>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</si>
  <si>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</si>
  <si>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</si>
  <si>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</si>
  <si>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</si>
  <si>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</si>
  <si>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</si>
  <si>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</si>
  <si>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</si>
  <si>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</si>
  <si>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</si>
  <si>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</si>
  <si>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</si>
  <si>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</si>
  <si>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</si>
  <si>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</si>
  <si>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</si>
  <si>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</si>
  <si>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</si>
  <si>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</si>
  <si>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</si>
  <si>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</si>
  <si>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</si>
  <si>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</si>
  <si>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</si>
  <si>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</si>
  <si>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</si>
  <si>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</si>
  <si>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</si>
  <si>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</si>
  <si>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</si>
  <si>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</si>
  <si>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</si>
  <si>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</si>
  <si>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</si>
  <si>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</si>
  <si>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</si>
  <si>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</si>
  <si>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</si>
  <si>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</si>
  <si>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</si>
  <si>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</si>
  <si>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</si>
  <si>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</si>
  <si>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</si>
  <si>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</si>
  <si>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</si>
  <si>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</si>
  <si>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</si>
  <si>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</si>
  <si>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</si>
  <si>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</si>
  <si>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</si>
  <si>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</si>
  <si>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</si>
  <si>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</si>
  <si>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</si>
  <si>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</si>
  <si>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</si>
  <si>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</si>
  <si>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</si>
  <si>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</si>
  <si>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</si>
  <si>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</si>
  <si>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</si>
  <si>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</si>
  <si>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</si>
  <si>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</si>
  <si>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</si>
  <si>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</si>
  <si>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</si>
  <si>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</si>
  <si>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</si>
  <si>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</si>
  <si>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</si>
  <si>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</si>
  <si>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</si>
  <si>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</si>
  <si>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</si>
  <si>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</si>
  <si>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</si>
  <si>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</si>
  <si>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</si>
  <si>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</si>
  <si>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</si>
  <si>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</si>
  <si>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</si>
  <si>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</si>
  <si>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</si>
  <si>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</si>
  <si>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</si>
  <si>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</si>
  <si>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</si>
  <si>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</si>
  <si>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</si>
  <si>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</si>
  <si>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</si>
  <si>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</si>
  <si>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</si>
  <si>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</si>
  <si>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</si>
  <si>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</si>
  <si>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</si>
  <si>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</si>
  <si>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</si>
  <si>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</si>
  <si>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</si>
  <si>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</si>
  <si>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</si>
  <si>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</si>
  <si>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</si>
  <si>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</si>
  <si>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</si>
  <si>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</si>
  <si>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</si>
  <si>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</si>
  <si>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</si>
  <si>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</si>
  <si>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</si>
  <si>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</si>
  <si>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</si>
  <si>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</si>
  <si>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</si>
  <si>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</si>
  <si>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</si>
  <si>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</si>
  <si>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</si>
  <si>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</si>
  <si>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</si>
  <si>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</si>
  <si>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</si>
  <si>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</si>
  <si>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</si>
  <si>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</si>
  <si>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</si>
  <si>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</si>
  <si>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</si>
  <si>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</si>
  <si>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</si>
  <si>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</si>
  <si>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</si>
  <si>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</si>
  <si>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</si>
  <si>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</si>
  <si>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</si>
  <si>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</si>
  <si>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</si>
  <si>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</si>
  <si>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</si>
  <si>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</si>
  <si>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</si>
  <si>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</si>
  <si>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</si>
  <si>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</si>
  <si>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</si>
  <si>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</si>
  <si>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</si>
  <si>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</si>
  <si>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</si>
  <si>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</si>
  <si>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</si>
  <si>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</si>
  <si>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</si>
  <si>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</si>
  <si>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</si>
  <si>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</si>
  <si>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</si>
  <si>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</si>
  <si>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</si>
  <si>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</si>
  <si>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</si>
  <si>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</si>
  <si>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</si>
  <si>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</si>
  <si>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</si>
  <si>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</si>
  <si>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</si>
  <si>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</si>
  <si>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</si>
  <si>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</si>
  <si>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</si>
  <si>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</si>
  <si>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</si>
  <si>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</si>
  <si>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</si>
  <si>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</si>
  <si>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</si>
  <si>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</si>
  <si>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</si>
  <si>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</si>
  <si>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</si>
  <si>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</si>
  <si>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</si>
  <si>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</si>
  <si>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</si>
  <si>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</si>
  <si>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</si>
  <si>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</si>
  <si>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</si>
  <si>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</si>
  <si>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</si>
  <si>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</si>
  <si>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</si>
  <si>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</si>
  <si>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</si>
  <si>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</si>
  <si>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</si>
  <si>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</si>
  <si>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</si>
  <si>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</si>
  <si>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</si>
  <si>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</si>
  <si>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</si>
  <si>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</si>
  <si>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</si>
  <si>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</si>
  <si>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</si>
  <si>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</si>
  <si>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</si>
  <si>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</si>
  <si>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</si>
  <si>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</si>
  <si>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</si>
  <si>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</si>
  <si>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</si>
  <si>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</si>
  <si>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</si>
  <si>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</si>
  <si>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</si>
  <si>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</si>
  <si>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</si>
  <si>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</si>
  <si>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</si>
  <si>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</si>
  <si>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</si>
  <si>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</si>
  <si>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</si>
  <si>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</si>
  <si>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</si>
  <si>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</si>
  <si>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</si>
  <si>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</si>
  <si>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</si>
  <si>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</si>
  <si>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</si>
  <si>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</si>
  <si>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</si>
  <si>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</si>
  <si>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</si>
  <si>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</si>
  <si>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</si>
  <si>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</si>
  <si>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</si>
  <si>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</si>
  <si>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</si>
  <si>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</si>
  <si>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</si>
  <si>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</si>
  <si>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</si>
  <si>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</si>
  <si>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</si>
  <si>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</si>
  <si>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</si>
  <si>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</si>
  <si>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</si>
  <si>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</si>
  <si>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</si>
  <si>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</si>
  <si>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</si>
  <si>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</si>
  <si>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</si>
  <si>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</si>
  <si>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</si>
  <si>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</si>
  <si>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</si>
  <si>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</si>
  <si>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</si>
  <si>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</si>
  <si>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</si>
  <si>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</si>
  <si>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</si>
  <si>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</si>
  <si>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</si>
  <si>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</si>
  <si>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</si>
  <si>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</si>
  <si>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</si>
  <si>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</si>
  <si>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</si>
  <si>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</si>
  <si>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</si>
  <si>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</si>
  <si>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</si>
  <si>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</si>
  <si>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</si>
  <si>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</si>
  <si>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</si>
  <si>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</si>
  <si>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</si>
  <si>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</si>
  <si>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</si>
  <si>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</si>
  <si>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</si>
  <si>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</si>
  <si>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</si>
  <si>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</si>
  <si>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</si>
  <si>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</si>
  <si>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</si>
  <si>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</si>
  <si>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</si>
  <si>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</si>
  <si>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</si>
  <si>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</si>
  <si>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</si>
  <si>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</si>
  <si>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</si>
  <si>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</si>
  <si>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</si>
  <si>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</si>
  <si>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</si>
  <si>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</si>
  <si>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</si>
  <si>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</si>
  <si>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</si>
  <si>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</si>
  <si>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</si>
  <si>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</si>
  <si>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</si>
  <si>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</si>
  <si>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</si>
  <si>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</si>
  <si>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</si>
  <si>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</si>
  <si>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</si>
  <si>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</si>
  <si>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</si>
  <si>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</si>
  <si>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</si>
  <si>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</si>
  <si>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</si>
  <si>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</si>
  <si>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</si>
  <si>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</si>
  <si>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</si>
  <si>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</si>
  <si>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</si>
  <si>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</si>
  <si>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</si>
  <si>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</si>
  <si>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</si>
  <si>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</si>
  <si>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</si>
  <si>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</si>
  <si>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</si>
  <si>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</si>
  <si>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</si>
  <si>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</si>
  <si>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</si>
  <si>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</si>
  <si>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</si>
  <si>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</si>
  <si>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</si>
  <si>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</si>
  <si>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</si>
  <si>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</si>
  <si>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</si>
  <si>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</si>
  <si>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</si>
  <si>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</si>
  <si>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</si>
  <si>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</si>
  <si>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</si>
  <si>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</si>
  <si>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</si>
  <si>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</si>
  <si>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</si>
  <si>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</si>
  <si>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</si>
  <si>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</si>
  <si>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</si>
  <si>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</si>
  <si>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</si>
  <si>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</si>
  <si>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</si>
  <si>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</si>
  <si>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</si>
  <si>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</si>
  <si>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</si>
  <si>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</si>
  <si>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</si>
  <si>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</si>
  <si>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</si>
  <si>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</si>
  <si>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</si>
  <si>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</si>
  <si>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</si>
  <si>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</si>
  <si>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</si>
  <si>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</si>
  <si>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</si>
  <si>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</si>
  <si>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</si>
  <si>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</si>
  <si>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</si>
  <si>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</si>
  <si>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</si>
  <si>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</si>
  <si>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</si>
  <si>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</si>
  <si>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</si>
  <si>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</si>
  <si>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</si>
  <si>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</si>
  <si>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</si>
  <si>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</si>
  <si>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</si>
  <si>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</si>
  <si>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</si>
  <si>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</si>
  <si>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</si>
  <si>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</si>
  <si>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</si>
  <si>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</si>
  <si>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</si>
  <si>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</si>
  <si>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</si>
  <si>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</si>
  <si>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</si>
  <si>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</si>
  <si>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</si>
  <si>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</si>
  <si>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</si>
  <si>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</si>
  <si>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</si>
  <si>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</si>
  <si>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</si>
  <si>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</si>
  <si>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</si>
  <si>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</si>
  <si>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</si>
  <si>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</si>
  <si>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</si>
  <si>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</si>
  <si>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</si>
  <si>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</si>
  <si>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</si>
  <si>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</si>
  <si>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</si>
  <si>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</si>
  <si>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</si>
  <si>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</si>
  <si>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</si>
  <si>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</si>
  <si>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</si>
  <si>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</si>
  <si>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</si>
  <si>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</si>
  <si>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</si>
  <si>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</si>
  <si>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</si>
  <si>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</si>
  <si>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</si>
  <si>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</si>
  <si>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</si>
  <si>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</si>
  <si>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</si>
  <si>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</si>
  <si>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</si>
  <si>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</si>
  <si>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</si>
  <si>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</si>
  <si>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</si>
  <si>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</si>
  <si>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</si>
  <si>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</si>
  <si>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</si>
  <si>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</si>
  <si>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</si>
  <si>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</si>
  <si>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</si>
  <si>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</si>
  <si>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</si>
  <si>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</si>
  <si>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</si>
  <si>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</si>
  <si>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</si>
  <si>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</si>
  <si>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</si>
  <si>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</si>
  <si>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</si>
  <si>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</si>
  <si>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</si>
  <si>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</si>
  <si>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</si>
  <si>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</si>
  <si>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</si>
  <si>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</si>
  <si>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</si>
  <si>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</si>
  <si>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</si>
  <si>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</si>
  <si>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</si>
  <si>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</si>
  <si>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</si>
  <si>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</si>
  <si>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</si>
  <si>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</si>
  <si>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</si>
  <si>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</si>
  <si>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</si>
  <si>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</si>
  <si>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</si>
  <si>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</si>
  <si>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</si>
  <si>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</si>
  <si>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</si>
  <si>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</si>
  <si>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</si>
  <si>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</si>
  <si>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</si>
  <si>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</si>
  <si>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</si>
  <si>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</si>
  <si>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</si>
  <si>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</si>
  <si>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</si>
  <si>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</si>
  <si>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</si>
  <si>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</si>
  <si>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</si>
  <si>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</si>
  <si>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</si>
  <si>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</si>
  <si>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</si>
  <si>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</si>
  <si>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</si>
  <si>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</si>
  <si>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</si>
  <si>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</si>
  <si>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</si>
  <si>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</si>
  <si>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</si>
  <si>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</si>
  <si>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</si>
  <si>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</si>
  <si>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</si>
  <si>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</si>
  <si>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</si>
  <si>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</si>
  <si>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</si>
  <si>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</si>
  <si>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</si>
  <si>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</si>
  <si>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</si>
  <si>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</si>
  <si>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</si>
  <si>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</si>
  <si>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</si>
  <si>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</si>
  <si>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</si>
  <si>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</si>
  <si>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</si>
  <si>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</si>
  <si>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</si>
  <si>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</si>
  <si>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</si>
  <si>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</si>
  <si>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</si>
  <si>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</si>
  <si>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</si>
  <si>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</si>
  <si>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</si>
  <si>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</si>
  <si>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</si>
  <si>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</si>
  <si>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</si>
  <si>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</si>
  <si>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</si>
  <si>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</si>
  <si>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</si>
  <si>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</si>
  <si>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</si>
  <si>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</si>
  <si>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</si>
  <si>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</si>
  <si>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</si>
  <si>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</si>
  <si>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</si>
  <si>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</si>
  <si>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</si>
  <si>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</si>
  <si>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</si>
  <si>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</si>
  <si>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</si>
  <si>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</si>
  <si>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</si>
  <si>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</si>
  <si>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</si>
  <si>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</si>
  <si>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</si>
  <si>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</si>
  <si>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</si>
  <si>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</si>
  <si>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</si>
  <si>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</si>
  <si>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</si>
  <si>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</si>
  <si>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</si>
  <si>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</si>
  <si>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</si>
  <si>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</si>
  <si>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</si>
  <si>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</si>
  <si>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</si>
  <si>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</si>
  <si>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</si>
  <si>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</si>
  <si>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</si>
  <si>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</si>
  <si>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</si>
  <si>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</si>
  <si>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</si>
  <si>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</si>
  <si>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</si>
  <si>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</si>
  <si>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</si>
  <si>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</si>
  <si>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</si>
  <si>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</si>
  <si>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</si>
  <si>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</si>
  <si>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</si>
  <si>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</si>
  <si>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</si>
  <si>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</si>
  <si>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</si>
  <si>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</si>
  <si>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</si>
  <si>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</si>
  <si>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</si>
  <si>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</si>
  <si>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</si>
  <si>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</si>
  <si>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</si>
  <si>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</si>
  <si>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</si>
  <si>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</si>
  <si>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</si>
  <si>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</si>
  <si>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</si>
  <si>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</si>
  <si>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</si>
  <si>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</si>
  <si>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</si>
  <si>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</si>
  <si>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</si>
  <si>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</si>
  <si>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</si>
  <si>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</si>
  <si>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</si>
  <si>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</si>
  <si>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</si>
  <si>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</si>
  <si>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</si>
  <si>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</si>
  <si>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</si>
  <si>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</si>
  <si>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</si>
  <si>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</si>
  <si>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</si>
  <si>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</si>
  <si>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</si>
  <si>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</si>
  <si>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</si>
  <si>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</si>
  <si>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</si>
  <si>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</si>
  <si>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</si>
  <si>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</si>
  <si>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</si>
  <si>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</si>
  <si>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</si>
  <si>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</si>
  <si>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</si>
  <si>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</si>
  <si>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</si>
  <si>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</si>
  <si>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</si>
  <si>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</si>
  <si>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</si>
  <si>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</si>
  <si>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</si>
  <si>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</si>
  <si>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</si>
  <si>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</si>
  <si>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</si>
  <si>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</si>
  <si>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</si>
  <si>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</si>
  <si>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</si>
  <si>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</si>
  <si>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</si>
  <si>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</si>
  <si>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</si>
  <si>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</si>
  <si>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</si>
  <si>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</si>
  <si>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</si>
  <si>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</si>
  <si>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</si>
  <si>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</si>
  <si>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</si>
  <si>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</si>
  <si>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</si>
  <si>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</si>
  <si>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</si>
  <si>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</si>
  <si>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</si>
  <si>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</si>
  <si>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</si>
  <si>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</si>
  <si>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</si>
  <si>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</si>
  <si>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</si>
  <si>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</si>
  <si>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</si>
  <si>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</si>
  <si>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</si>
  <si>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</si>
  <si>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</si>
  <si>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</si>
  <si>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</si>
  <si>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</si>
  <si>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</si>
  <si>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</si>
  <si>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</si>
  <si>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</si>
  <si>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</si>
  <si>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</si>
  <si>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</si>
  <si>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</si>
  <si>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</si>
  <si>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</si>
  <si>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</si>
  <si>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</si>
  <si>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</si>
  <si>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</si>
  <si>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</si>
  <si>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</si>
  <si>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</si>
  <si>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</si>
  <si>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</si>
  <si>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</si>
  <si>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</si>
  <si>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</si>
  <si>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</si>
  <si>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</si>
  <si>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</si>
  <si>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</si>
  <si>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</si>
  <si>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</si>
  <si>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</si>
  <si>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</si>
  <si>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</si>
  <si>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</si>
  <si>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</si>
  <si>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</si>
  <si>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</si>
  <si>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</si>
  <si>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</si>
  <si>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</si>
  <si>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</si>
  <si>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</si>
  <si>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</si>
  <si>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</si>
  <si>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</si>
  <si>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</si>
  <si>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</si>
  <si>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</si>
  <si>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</si>
  <si>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</si>
  <si>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</si>
  <si>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</si>
  <si>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</si>
  <si>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</si>
  <si>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</si>
  <si>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</si>
  <si>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</si>
  <si>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</si>
  <si>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</si>
  <si>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</si>
  <si>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</si>
  <si>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</si>
  <si>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</si>
  <si>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</si>
  <si>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</si>
  <si>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</si>
  <si>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</si>
  <si>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</si>
  <si>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</si>
  <si>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</si>
  <si>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</si>
  <si>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</si>
  <si>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</si>
  <si>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</si>
  <si>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</si>
  <si>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</si>
  <si>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</si>
  <si>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</si>
  <si>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</si>
  <si>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</si>
  <si>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</si>
  <si>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</si>
  <si>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</si>
  <si>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</si>
  <si>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</si>
  <si>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</si>
  <si>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</si>
  <si>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</si>
  <si>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</si>
  <si>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</si>
  <si>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</si>
  <si>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</si>
  <si>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</si>
  <si>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</si>
  <si>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</si>
  <si>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</si>
  <si>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</si>
  <si>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</si>
  <si>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</si>
  <si>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</si>
  <si>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</si>
  <si>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</si>
  <si>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</si>
  <si>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</si>
  <si>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</si>
  <si>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</si>
  <si>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</si>
  <si>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</si>
  <si>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</si>
  <si>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</si>
  <si>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</si>
  <si>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</si>
  <si>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</si>
  <si>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</si>
  <si>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</si>
  <si>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</si>
  <si>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</si>
  <si>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</si>
  <si>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</si>
  <si>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</si>
  <si>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</si>
  <si>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</si>
  <si>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</si>
  <si>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</si>
  <si>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</si>
  <si>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</si>
  <si>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</si>
  <si>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</si>
  <si>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</si>
  <si>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</si>
  <si>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</si>
  <si>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</si>
  <si>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</si>
  <si>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</si>
  <si>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</si>
  <si>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</si>
  <si>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</si>
  <si>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</si>
  <si>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</si>
  <si>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</si>
  <si>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</si>
  <si>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</si>
  <si>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</si>
  <si>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</si>
  <si>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</si>
  <si>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</si>
  <si>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</si>
  <si>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</si>
  <si>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</si>
  <si>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</si>
  <si>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</si>
  <si>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</si>
  <si>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</si>
  <si>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</si>
  <si>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</si>
  <si>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</si>
  <si>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</si>
  <si>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</si>
  <si>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</si>
  <si>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</si>
  <si>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</si>
  <si>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</si>
  <si>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</si>
  <si>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</si>
  <si>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</si>
  <si>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</si>
  <si>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</si>
  <si>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</si>
  <si>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</si>
  <si>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</si>
  <si>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</si>
  <si>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</si>
  <si>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</si>
  <si>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</si>
  <si>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</si>
  <si>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</si>
  <si>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</si>
  <si>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</si>
  <si>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</si>
  <si>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</si>
  <si>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</si>
  <si>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</si>
  <si>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</si>
  <si>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</si>
  <si>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</si>
  <si>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</si>
  <si>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</si>
  <si>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</si>
  <si>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</si>
  <si>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</si>
  <si>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</si>
  <si>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</si>
  <si>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</si>
  <si>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</si>
  <si>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</si>
  <si>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</si>
  <si>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</si>
  <si>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</si>
  <si>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</si>
  <si>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</si>
  <si>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</si>
  <si>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</si>
  <si>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</si>
  <si>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</si>
  <si>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</si>
  <si>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</si>
  <si>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</si>
  <si>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</si>
  <si>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</si>
  <si>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</si>
  <si>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</si>
  <si>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</si>
  <si>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</si>
  <si>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</si>
  <si>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</si>
  <si>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</si>
  <si>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</si>
  <si>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</si>
  <si>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</si>
  <si>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</si>
  <si>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</si>
  <si>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</si>
  <si>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</si>
  <si>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</si>
  <si>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</si>
  <si>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</si>
  <si>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</si>
  <si>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</si>
  <si>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</si>
  <si>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</si>
  <si>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</si>
  <si>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</si>
  <si>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</si>
  <si>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</si>
  <si>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</si>
  <si>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</si>
  <si>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</si>
  <si>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</si>
  <si>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</si>
  <si>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</si>
  <si>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</si>
  <si>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</si>
  <si>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</si>
  <si>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</si>
  <si>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</si>
  <si>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</si>
  <si>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</si>
  <si>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</si>
  <si>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</si>
  <si>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</si>
  <si>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</si>
  <si>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</si>
  <si>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</si>
  <si>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</si>
  <si>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</si>
  <si>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</si>
  <si>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</si>
  <si>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</si>
  <si>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</si>
  <si>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</si>
  <si>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</si>
  <si>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</si>
  <si>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</si>
  <si>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</si>
  <si>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</si>
  <si>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</si>
  <si>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</si>
  <si>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</si>
  <si>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</si>
  <si>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</si>
  <si>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</si>
  <si>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</si>
  <si>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</si>
  <si>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</si>
  <si>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</si>
  <si>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</si>
  <si>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</si>
  <si>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</si>
  <si>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</si>
  <si>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</si>
  <si>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</si>
  <si>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</si>
  <si>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</si>
  <si>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</si>
  <si>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</si>
  <si>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</si>
  <si>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</si>
  <si>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</si>
  <si>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</si>
  <si>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</si>
  <si>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</si>
  <si>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</si>
  <si>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</si>
  <si>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</si>
  <si>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</si>
  <si>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</si>
  <si>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</si>
  <si>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</si>
  <si>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</si>
  <si>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</si>
  <si>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</si>
  <si>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</si>
  <si>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</si>
  <si>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</si>
  <si>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</si>
  <si>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</si>
  <si>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</si>
  <si>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</si>
  <si>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</si>
  <si>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</si>
  <si>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</si>
  <si>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</si>
  <si>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</si>
  <si>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</si>
  <si>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</si>
  <si>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</si>
  <si>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</si>
  <si>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</si>
  <si>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</si>
  <si>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</si>
  <si>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</si>
  <si>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</si>
  <si>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</si>
  <si>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</si>
  <si>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</si>
  <si>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</si>
  <si>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</si>
  <si>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</si>
  <si>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</si>
  <si>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</si>
  <si>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</si>
  <si>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</si>
  <si>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</si>
  <si>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</si>
  <si>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</si>
  <si>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</si>
  <si>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</si>
  <si>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</si>
  <si>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</si>
  <si>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</si>
  <si>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</si>
  <si>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</si>
  <si>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</si>
  <si>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</si>
  <si>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</si>
  <si>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</si>
  <si>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</si>
  <si>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</si>
  <si>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</si>
  <si>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</si>
  <si>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</si>
  <si>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</si>
  <si>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</si>
  <si>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</si>
  <si>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</si>
  <si>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</si>
  <si>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</si>
  <si>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</si>
  <si>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</si>
  <si>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</si>
  <si>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</si>
  <si>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</si>
  <si>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</si>
  <si>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</si>
  <si>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</si>
  <si>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</si>
  <si>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</si>
  <si>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</si>
  <si>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</si>
  <si>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</si>
  <si>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</si>
  <si>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</si>
  <si>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</si>
  <si>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</si>
  <si>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</si>
  <si>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</si>
  <si>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</si>
  <si>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</si>
  <si>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</si>
  <si>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</si>
  <si>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</si>
  <si>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</si>
  <si>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</si>
  <si>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</si>
  <si>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</si>
  <si>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</si>
  <si>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</si>
  <si>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</si>
  <si>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</si>
  <si>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</si>
  <si>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</si>
  <si>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</si>
  <si>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</si>
  <si>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</si>
  <si>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</si>
  <si>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</si>
  <si>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</si>
  <si>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</si>
  <si>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</si>
  <si>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</si>
  <si>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</si>
  <si>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</si>
  <si>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</si>
  <si>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</si>
  <si>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</si>
  <si>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</si>
  <si>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</si>
  <si>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</si>
  <si>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</si>
  <si>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</si>
  <si>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</si>
  <si>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</si>
  <si>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</si>
  <si>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</si>
  <si>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</si>
  <si>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</si>
  <si>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</si>
  <si>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</si>
  <si>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</si>
  <si>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</si>
  <si>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</si>
  <si>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</si>
  <si>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</si>
  <si>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</si>
  <si>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</si>
  <si>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</si>
  <si>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</si>
  <si>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</si>
  <si>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</si>
  <si>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</si>
  <si>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</si>
  <si>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</si>
  <si>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</si>
  <si>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</si>
  <si>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</si>
  <si>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</si>
  <si>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</si>
  <si>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</si>
  <si>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</si>
  <si>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</si>
  <si>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</si>
  <si>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</si>
  <si>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</si>
  <si>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</si>
  <si>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</si>
  <si>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</si>
  <si>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</si>
  <si>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</si>
  <si>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</si>
  <si>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</si>
  <si>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</si>
  <si>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</si>
  <si>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</si>
  <si>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</si>
  <si>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</si>
  <si>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</si>
  <si>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</si>
  <si>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</si>
  <si>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</si>
  <si>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</si>
  <si>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</si>
  <si>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</si>
  <si>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</si>
  <si>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</si>
  <si>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</si>
  <si>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</si>
  <si>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</si>
  <si>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</si>
  <si>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</si>
  <si>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</si>
  <si>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</si>
  <si>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</si>
  <si>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</si>
  <si>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</si>
  <si>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</si>
  <si>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</si>
  <si>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</si>
  <si>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</si>
  <si>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</si>
  <si>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</si>
  <si>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</si>
  <si>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</si>
  <si>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</si>
  <si>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</si>
  <si>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</si>
  <si>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</si>
  <si>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</si>
  <si>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</si>
  <si>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</si>
  <si>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</si>
  <si>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</si>
  <si>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</si>
  <si>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</si>
  <si>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</si>
  <si>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</si>
  <si>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</si>
  <si>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</si>
  <si>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</si>
  <si>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</si>
  <si>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</si>
  <si>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</si>
  <si>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</si>
  <si>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</si>
  <si>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</si>
  <si>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</si>
  <si>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</si>
  <si>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</si>
  <si>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</si>
  <si>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</si>
  <si>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</si>
  <si>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</si>
  <si>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</si>
  <si>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</si>
  <si>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</si>
  <si>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</si>
  <si>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</si>
  <si>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</si>
  <si>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</si>
  <si>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</si>
  <si>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</si>
  <si>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</si>
  <si>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</si>
  <si>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</si>
  <si>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</si>
  <si>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</si>
  <si>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</si>
  <si>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</si>
  <si>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</si>
  <si>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</si>
  <si>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</si>
  <si>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</si>
  <si>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</si>
  <si>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</si>
  <si>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</si>
  <si>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</si>
  <si>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</si>
  <si>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</si>
  <si>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</si>
  <si>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</si>
  <si>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</si>
  <si>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</si>
  <si>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</si>
  <si>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</si>
  <si>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</si>
  <si>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</si>
  <si>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</si>
  <si>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</si>
  <si>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</si>
  <si>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</si>
  <si>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</si>
  <si>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</si>
  <si>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</si>
  <si>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</si>
  <si>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</si>
  <si>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</si>
  <si>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</si>
  <si>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</si>
  <si>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</si>
  <si>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</si>
  <si>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</si>
  <si>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</si>
  <si>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</si>
  <si>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</si>
  <si>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</si>
  <si>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</si>
  <si>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</si>
  <si>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</si>
  <si>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</si>
  <si>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</si>
  <si>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</si>
  <si>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</si>
  <si>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</si>
  <si>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</si>
  <si>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</si>
  <si>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</si>
  <si>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</si>
  <si>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</si>
  <si>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</si>
  <si>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</si>
  <si>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</si>
  <si>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</si>
  <si>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</si>
  <si>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</si>
  <si>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</si>
  <si>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</si>
  <si>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</si>
  <si>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</si>
  <si>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</si>
  <si>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</si>
  <si>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</si>
  <si>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</si>
  <si>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</si>
  <si>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</si>
  <si>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</si>
  <si>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</si>
  <si>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</si>
  <si>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</si>
  <si>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</si>
  <si>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</si>
  <si>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</si>
  <si>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</si>
  <si>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</si>
  <si>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</si>
  <si>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</si>
  <si>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</si>
  <si>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</si>
  <si>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</si>
  <si>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</si>
  <si>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</si>
  <si>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</si>
  <si>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</si>
  <si>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</si>
  <si>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</si>
  <si>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</si>
  <si>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</si>
  <si>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</si>
  <si>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</si>
  <si>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</si>
  <si>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</si>
  <si>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</si>
  <si>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</si>
  <si>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</si>
  <si>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</si>
  <si>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</si>
  <si>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</si>
  <si>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</si>
  <si>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</si>
  <si>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</si>
  <si>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</si>
  <si>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</si>
  <si>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</si>
  <si>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</si>
  <si>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</si>
  <si>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</si>
  <si>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</si>
  <si>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</si>
  <si>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</si>
  <si>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</si>
  <si>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</si>
  <si>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</si>
  <si>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</si>
  <si>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</si>
  <si>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</si>
  <si>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</si>
  <si>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</si>
  <si>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</si>
  <si>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</si>
  <si>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</si>
  <si>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</si>
  <si>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</si>
  <si>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</si>
  <si>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</si>
  <si>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</si>
  <si>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</si>
  <si>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</si>
  <si>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</si>
  <si>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</si>
  <si>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</si>
  <si>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</si>
  <si>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</si>
  <si>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</si>
  <si>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</si>
  <si>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</si>
  <si>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现房</t>
  </si>
  <si>
    <t>抵押</t>
  </si>
  <si>
    <t>房地产抵押价值</t>
  </si>
  <si>
    <t>北京市</t>
  </si>
  <si>
    <t>企业</t>
  </si>
  <si>
    <r>
      <rPr>
        <sz val="10"/>
        <color theme="9" tint="-0.249977111117893"/>
        <rFont val="宋体"/>
        <family val="3"/>
        <charset val="134"/>
      </rPr>
      <t>海淀区四道口</t>
    </r>
    <r>
      <rPr>
        <sz val="10"/>
        <color theme="9" tint="-0.249977111117893"/>
        <rFont val="Arial"/>
        <family val="2"/>
      </rPr>
      <t>11</t>
    </r>
    <r>
      <rPr>
        <sz val="10"/>
        <color theme="9" tint="-0.249977111117893"/>
        <rFont val="宋体"/>
        <family val="3"/>
        <charset val="134"/>
      </rPr>
      <t>号</t>
    </r>
    <phoneticPr fontId="6" type="noConversion"/>
  </si>
  <si>
    <t>出让</t>
  </si>
  <si>
    <t>是</t>
  </si>
  <si>
    <t>地上</t>
  </si>
  <si>
    <t>独立商业</t>
  </si>
  <si>
    <t>地下</t>
  </si>
  <si>
    <t>商业</t>
    <phoneticPr fontId="7" type="noConversion"/>
  </si>
  <si>
    <t>成新度</t>
  </si>
  <si>
    <t>收益法</t>
  </si>
  <si>
    <t>其他商服用地（指展览馆、会展中心等用地）</t>
  </si>
  <si>
    <t>估价对象容积率</t>
  </si>
  <si>
    <t>不临58条商业街</t>
  </si>
  <si>
    <t>与级别开发程度不一致</t>
  </si>
  <si>
    <t>通路</t>
  </si>
  <si>
    <t>通电</t>
  </si>
  <si>
    <t>通讯</t>
  </si>
  <si>
    <t>通上水</t>
  </si>
  <si>
    <t>通下水</t>
  </si>
  <si>
    <t>平整</t>
  </si>
  <si>
    <t>按公示增长率计算</t>
  </si>
  <si>
    <t>容积率修正</t>
  </si>
  <si>
    <t>未包含在土地购买价格中</t>
  </si>
  <si>
    <t>全部缴纳</t>
  </si>
  <si>
    <t>已包含在土地取得成本中</t>
  </si>
  <si>
    <t>成本法</t>
  </si>
  <si>
    <t>押一</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</si>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</sst>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北京市海淀区四道口11号房地产抵押价值预评估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受贵公司委托，我公司对北京市海淀区四道口11号房地产抵押价值进行了预评估。</v>
      </c>
    </row>
    <row r="7" spans="1:2" s="1365" customFormat="1">
      <c r="A7" s="1363" t="s">
        <v>1231</v>
      </c>
      <c r="B7" s="1364" t="str">
        <f>'预评函-1'!A7</f>
        <v>估价对象为北京市海淀区四道口11号房地产，为所有。根据《国有土地使用证》[]，估价对象（分摊）出让国有建设用地使用权面积为1000平方米，建筑面积为6787.95平方米。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估价对象为北京市海淀区四道口11号房地产,属开发建设的，该项目尚在开发建设中。根据《国有土地使用证》[]，估价对象（分摊）出让国有建设用地使用权面积为1000平方米，规划建筑面积为6787.95平方米。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海淀区四道口11号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2021年3月12日（评估专业人员实地查勘之日）</v>
      </c>
    </row>
    <row r="13" spans="1:2" s="1365" customFormat="1">
      <c r="A13" s="1363" t="s">
        <v>1194</v>
      </c>
      <c r="B13" s="1364" t="str">
        <f>'预评函-1'!A18</f>
        <v>本次估价的“房地产价值”是指在正常市场情况下，在价值时点2021年3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北京市海淀区四道口11号房地产</v>
      </c>
    </row>
    <row r="42" spans="1:2" s="1365" customFormat="1">
      <c r="A42" s="1363" t="s">
        <v>1255</v>
      </c>
      <c r="B42" s="1364" t="str">
        <f>'预评函-3'!B2</f>
        <v>建筑面积</v>
      </c>
    </row>
    <row r="43" spans="1:2" s="1365" customFormat="1">
      <c r="A43" s="1363" t="s">
        <v>1256</v>
      </c>
      <c r="B43" s="1364">
        <f>'预评函-3'!B4</f>
        <v>6787.95</v>
      </c>
    </row>
    <row r="44" spans="1:2" s="1365" customFormat="1">
      <c r="A44" s="1363" t="s">
        <v>1240</v>
      </c>
      <c r="B44" s="1364" t="str">
        <f>'预评函-3'!C2</f>
        <v>(分摊)土地面积</v>
      </c>
    </row>
    <row r="45" spans="1:2" s="1365" customFormat="1">
      <c r="A45" s="1363" t="s">
        <v>1212</v>
      </c>
      <c r="B45" s="1364">
        <f>'预评函-3'!C4</f>
        <v>1000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四道口11号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1740" t="s">
        <v>832</v>
      </c>
      <c r="C54" s="1737" t="s">
        <v>1248</v>
      </c>
    </row>
    <row r="55" spans="1:4">
      <c r="A55" s="3097"/>
      <c r="B55" s="1740" t="s">
        <v>833</v>
      </c>
      <c r="C55" s="1737" t="s">
        <v>1249</v>
      </c>
    </row>
    <row r="56" spans="1:4">
      <c r="A56" s="3097"/>
      <c r="B56" s="1740" t="s">
        <v>834</v>
      </c>
      <c r="C56" s="1737" t="s">
        <v>1253</v>
      </c>
    </row>
    <row r="57" spans="1:4">
      <c r="A57" s="309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098" t="str">
        <f>IF(B10="北京市","北京市",C10)&amp;F10&amp;IF(结果表!G1="在建","出让国有建设用地使用权及在建建筑物",IF(结果表!G1="土地","出让国有建设用地使用权",))&amp;B9&amp;"预评估"</f>
        <v>北京市海淀区四道口11号房地产抵押价值预评估</v>
      </c>
      <c r="C1" s="3099"/>
      <c r="D1" s="3099"/>
      <c r="E1" s="3099"/>
      <c r="F1" s="3099"/>
      <c r="G1" s="3099"/>
      <c r="H1" s="3099"/>
      <c r="I1" s="310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北京市海淀区四道口11号房地产抵押价值</v>
      </c>
      <c r="T1" s="1932"/>
      <c r="U1" s="1932"/>
      <c r="V1" s="1932"/>
      <c r="W1" s="1932"/>
      <c r="X1" s="1932"/>
      <c r="Y1" s="1932"/>
      <c r="Z1" s="1932"/>
      <c r="AA1" s="1932"/>
      <c r="AB1" s="1932"/>
    </row>
    <row r="2" spans="1:28">
      <c r="A2" s="2592" t="s">
        <v>2913</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北京市海淀区四道口11号房地产</v>
      </c>
      <c r="T2" s="1932"/>
      <c r="U2" s="1932"/>
      <c r="V2" s="1932"/>
      <c r="W2" s="1932"/>
      <c r="X2" s="1932"/>
      <c r="Y2" s="1932"/>
      <c r="Z2" s="1932"/>
      <c r="AA2" s="1932"/>
      <c r="AB2" s="1932"/>
    </row>
    <row r="3" spans="1:28">
      <c r="A3" s="308" t="s">
        <v>2914</v>
      </c>
      <c r="B3" s="2598">
        <v>44267</v>
      </c>
      <c r="C3" s="2599" t="s">
        <v>2915</v>
      </c>
      <c r="D3" s="2598">
        <f>B3</f>
        <v>44267</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2916</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2919</v>
      </c>
      <c r="B7" s="2612"/>
      <c r="C7" s="2610"/>
      <c r="D7" s="2611"/>
      <c r="E7" s="2890"/>
      <c r="F7" s="2892"/>
      <c r="G7" s="2892"/>
      <c r="H7" s="2892"/>
      <c r="I7" s="2892"/>
      <c r="J7" s="2666"/>
      <c r="K7" s="2843"/>
      <c r="L7" s="2840"/>
      <c r="M7" s="2840"/>
      <c r="N7" s="2666"/>
      <c r="O7" s="2677"/>
      <c r="P7" s="2666"/>
      <c r="Q7" s="2666"/>
      <c r="R7" s="2666"/>
    </row>
    <row r="8" spans="1:28">
      <c r="A8" s="2613" t="s">
        <v>2920</v>
      </c>
      <c r="B8" s="2614" t="s">
        <v>3062</v>
      </c>
      <c r="C8" s="2615"/>
      <c r="D8" s="3101" t="s">
        <v>2921</v>
      </c>
      <c r="E8" s="2616" t="s">
        <v>3063</v>
      </c>
      <c r="F8" s="2617"/>
      <c r="G8" s="2891"/>
      <c r="H8" s="2891"/>
      <c r="I8" s="2891"/>
      <c r="J8" s="2666"/>
      <c r="K8" s="2841"/>
      <c r="L8" s="2840"/>
      <c r="M8" s="2840"/>
      <c r="N8" s="2666"/>
      <c r="O8" s="2677"/>
      <c r="P8" s="2666"/>
      <c r="Q8" s="2666"/>
      <c r="R8" s="2666"/>
    </row>
    <row r="9" spans="1:28" ht="13.5" thickBot="1">
      <c r="A9" s="2618" t="s">
        <v>2922</v>
      </c>
      <c r="B9" s="2619" t="s">
        <v>3063</v>
      </c>
      <c r="C9" s="2620"/>
      <c r="D9" s="3102"/>
      <c r="E9" s="2619" t="s">
        <v>70</v>
      </c>
      <c r="F9" s="2621"/>
      <c r="G9" s="2893"/>
      <c r="H9" s="2893"/>
      <c r="I9" s="2893"/>
      <c r="J9" s="2666"/>
      <c r="K9" s="2843"/>
      <c r="L9" s="2840"/>
      <c r="M9" s="2840"/>
      <c r="N9" s="2666"/>
      <c r="O9" s="2677"/>
      <c r="P9" s="2666"/>
      <c r="Q9" s="2666"/>
      <c r="R9" s="2666"/>
    </row>
    <row r="10" spans="1:28" ht="13.5" thickTop="1">
      <c r="A10" s="2622" t="s">
        <v>2923</v>
      </c>
      <c r="B10" s="2623" t="s">
        <v>3064</v>
      </c>
      <c r="C10" s="2624"/>
      <c r="D10" s="2607"/>
      <c r="E10" s="2625" t="s">
        <v>2924</v>
      </c>
      <c r="F10" s="2894" t="s">
        <v>3066</v>
      </c>
      <c r="G10" s="2895"/>
      <c r="H10" s="2896"/>
      <c r="I10" s="2897"/>
      <c r="J10" s="2666"/>
      <c r="K10" s="2843"/>
      <c r="L10" s="2840"/>
      <c r="M10" s="2840"/>
      <c r="N10" s="2666"/>
      <c r="O10" s="2677"/>
      <c r="P10" s="2666"/>
      <c r="Q10" s="2666"/>
      <c r="R10" s="2666"/>
    </row>
    <row r="11" spans="1:28">
      <c r="A11" s="2626" t="s">
        <v>2925</v>
      </c>
      <c r="B11" s="2627" t="s">
        <v>3065</v>
      </c>
      <c r="C11" s="2628"/>
      <c r="D11" s="2629"/>
      <c r="E11" s="2595"/>
      <c r="F11" s="2595"/>
      <c r="G11" s="2595"/>
      <c r="H11" s="2595"/>
      <c r="I11" s="2595"/>
      <c r="J11" s="2666"/>
      <c r="K11" s="2843"/>
      <c r="L11" s="2840"/>
      <c r="M11" s="2840"/>
      <c r="N11" s="2666"/>
      <c r="O11" s="2677"/>
      <c r="P11" s="2666"/>
      <c r="Q11" s="2666"/>
      <c r="R11" s="2666"/>
    </row>
    <row r="12" spans="1:28">
      <c r="A12" s="2630" t="s">
        <v>2926</v>
      </c>
      <c r="B12" s="2627" t="s">
        <v>3067</v>
      </c>
      <c r="C12" s="329" t="s">
        <v>2927</v>
      </c>
      <c r="D12" s="2631" t="s">
        <v>2928</v>
      </c>
      <c r="E12" s="2631" t="s">
        <v>2929</v>
      </c>
      <c r="F12" s="2631" t="s">
        <v>2930</v>
      </c>
      <c r="G12" s="2631" t="s">
        <v>2931</v>
      </c>
      <c r="H12" s="2631" t="s">
        <v>2932</v>
      </c>
      <c r="I12" s="2631" t="s">
        <v>2933</v>
      </c>
      <c r="J12" s="2666"/>
      <c r="K12" s="2843"/>
      <c r="L12" s="2840"/>
      <c r="M12" s="2840"/>
      <c r="N12" s="2666"/>
      <c r="O12" s="2677"/>
      <c r="P12" s="2666"/>
      <c r="Q12" s="2666"/>
      <c r="R12" s="2666"/>
    </row>
    <row r="13" spans="1:28">
      <c r="A13" s="1241"/>
      <c r="B13" s="2632"/>
      <c r="C13" s="2633" t="s">
        <v>2934</v>
      </c>
      <c r="D13" s="965"/>
      <c r="E13" s="965">
        <v>50714</v>
      </c>
      <c r="F13" s="965"/>
      <c r="G13" s="965"/>
      <c r="H13" s="965"/>
      <c r="I13" s="965"/>
      <c r="J13" s="2666"/>
      <c r="K13" s="2843"/>
      <c r="L13" s="2840"/>
      <c r="M13" s="2840"/>
      <c r="N13" s="2666"/>
      <c r="O13" s="2677"/>
      <c r="P13" s="2666"/>
      <c r="Q13" s="2666"/>
      <c r="R13" s="2666"/>
    </row>
    <row r="14" spans="1:28">
      <c r="A14" s="1241"/>
      <c r="B14" s="2632"/>
      <c r="C14" s="2633" t="s">
        <v>2935</v>
      </c>
      <c r="D14" s="2634"/>
      <c r="E14" s="2634">
        <v>40</v>
      </c>
      <c r="F14" s="2634"/>
      <c r="G14" s="2634"/>
      <c r="H14" s="2634"/>
      <c r="I14" s="2634"/>
      <c r="J14" s="2666"/>
      <c r="K14" s="2844"/>
      <c r="L14" s="2840"/>
      <c r="M14" s="2840"/>
      <c r="N14" s="2666"/>
      <c r="O14" s="2677"/>
      <c r="P14" s="2666"/>
      <c r="Q14" s="2666"/>
      <c r="R14" s="2666"/>
    </row>
    <row r="15" spans="1:28">
      <c r="A15" s="326"/>
      <c r="B15" s="2635"/>
      <c r="C15" s="2636" t="s">
        <v>2936</v>
      </c>
      <c r="D15" s="2637" t="str">
        <f>IF(B12="出让",IF(D13="","",ROUNDDOWN(MIN((D13-$D$3)/365,D14),2)),D14)</f>
        <v/>
      </c>
      <c r="E15" s="2637">
        <f>IF(B12="出让",IF(E13="","",ROUNDDOWN(MIN((E13-$D$3)/365,E14),2)),E14)</f>
        <v>17.66</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2937</v>
      </c>
      <c r="B16" s="3108"/>
      <c r="C16" s="3109"/>
      <c r="D16" s="3110"/>
      <c r="E16" s="2640" t="s">
        <v>2938</v>
      </c>
      <c r="F16" s="3111"/>
      <c r="G16" s="3112"/>
      <c r="H16" s="3112"/>
      <c r="I16" s="3113"/>
      <c r="J16" s="2666"/>
      <c r="K16" s="2845"/>
      <c r="L16" s="2678"/>
      <c r="M16" s="2678"/>
      <c r="N16" s="2736"/>
      <c r="O16" s="2678"/>
      <c r="P16" s="2736"/>
      <c r="Q16" s="2666"/>
      <c r="R16" s="2666"/>
    </row>
    <row r="17" spans="1:28">
      <c r="A17" s="319" t="s">
        <v>2939</v>
      </c>
      <c r="B17" s="308" t="s">
        <v>2940</v>
      </c>
      <c r="C17" s="11">
        <f>'数据-汇总表'!E3</f>
        <v>6787.95</v>
      </c>
      <c r="D17" s="2546" t="s">
        <v>2941</v>
      </c>
      <c r="E17" s="3114" t="s">
        <v>2942</v>
      </c>
      <c r="F17" s="3115"/>
      <c r="G17" s="3115"/>
      <c r="H17" s="3115"/>
      <c r="I17" s="3116"/>
      <c r="J17" s="2666"/>
      <c r="K17" s="2846"/>
      <c r="L17" s="2678"/>
      <c r="M17" s="2678"/>
      <c r="N17" s="2736"/>
      <c r="O17" s="2678"/>
      <c r="P17" s="2736"/>
      <c r="Q17" s="2666"/>
      <c r="R17" s="2666"/>
      <c r="S17" s="2666"/>
      <c r="T17" s="2666"/>
      <c r="U17" s="2666"/>
      <c r="V17" s="2666"/>
    </row>
    <row r="18" spans="1:28" ht="24.75" thickBot="1">
      <c r="A18" s="2641" t="s">
        <v>2943</v>
      </c>
      <c r="B18" s="1250" t="s">
        <v>2944</v>
      </c>
      <c r="C18" s="2642">
        <f>'数据-汇总表'!D3</f>
        <v>1000</v>
      </c>
      <c r="D18" s="1252" t="s">
        <v>2945</v>
      </c>
      <c r="E18" s="3117" t="s">
        <v>2946</v>
      </c>
      <c r="F18" s="3118"/>
      <c r="G18" s="3118"/>
      <c r="H18" s="3118"/>
      <c r="I18" s="3119"/>
      <c r="J18" s="2666"/>
      <c r="K18" s="2846"/>
      <c r="L18" s="2678"/>
      <c r="M18" s="2678"/>
      <c r="N18" s="2736"/>
      <c r="O18" s="2678"/>
      <c r="P18" s="2736"/>
      <c r="Q18" s="2666"/>
      <c r="R18" s="2666"/>
      <c r="S18" s="2666"/>
      <c r="T18" s="2666"/>
      <c r="U18" s="2666"/>
      <c r="V18" s="2666"/>
    </row>
    <row r="19" spans="1:28" ht="37.5" thickTop="1" thickBot="1">
      <c r="A19" s="333" t="s">
        <v>1741</v>
      </c>
      <c r="B19" s="313" t="s">
        <v>2947</v>
      </c>
      <c r="C19" s="1749"/>
      <c r="D19" s="1750" t="s">
        <v>2948</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2949</v>
      </c>
      <c r="B20" s="3104" t="s">
        <v>2950</v>
      </c>
      <c r="C20" s="3105"/>
      <c r="D20" s="3106" t="s">
        <v>2951</v>
      </c>
      <c r="E20" s="3107"/>
      <c r="F20" s="2875" t="s">
        <v>1742</v>
      </c>
      <c r="G20" s="2892"/>
      <c r="H20" s="2892"/>
      <c r="I20" s="2892"/>
      <c r="J20" s="2666"/>
      <c r="K20" s="310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2953</v>
      </c>
      <c r="C21" s="2862" t="s">
        <v>1743</v>
      </c>
      <c r="D21" s="1754" t="s">
        <v>2954</v>
      </c>
      <c r="E21" s="2863" t="s">
        <v>1743</v>
      </c>
      <c r="F21" s="2876"/>
      <c r="G21" s="2892"/>
      <c r="H21" s="2892"/>
      <c r="I21" s="2892"/>
      <c r="J21" s="2666"/>
      <c r="K21" s="31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2955</v>
      </c>
      <c r="C22" s="2862" t="s">
        <v>1744</v>
      </c>
      <c r="D22" s="2891"/>
      <c r="E22" s="2891"/>
      <c r="F22" s="2891"/>
      <c r="G22" s="2892"/>
      <c r="H22" s="2892"/>
      <c r="I22" s="2892"/>
      <c r="J22" s="2666"/>
      <c r="K22" s="31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2956</v>
      </c>
      <c r="B23" s="2729" t="s">
        <v>2957</v>
      </c>
      <c r="C23" s="2866"/>
      <c r="D23" s="2867" t="s">
        <v>2957</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1" t="s">
        <v>2958</v>
      </c>
      <c r="B27" s="326" t="s">
        <v>2959</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1"/>
      <c r="B28" s="308" t="s">
        <v>2960</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1"/>
      <c r="B29" s="308" t="s">
        <v>2961</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2"/>
      <c r="B30" s="308" t="s">
        <v>2962</v>
      </c>
      <c r="C30" s="3123"/>
      <c r="D30" s="3124"/>
      <c r="E30" s="2892"/>
      <c r="F30" s="2892"/>
      <c r="G30" s="2892"/>
      <c r="H30" s="2892"/>
      <c r="I30" s="2892"/>
      <c r="J30" s="2666"/>
      <c r="K30" s="2843"/>
      <c r="L30" s="2840"/>
      <c r="M30" s="2840"/>
      <c r="N30" s="2666"/>
      <c r="O30" s="2677"/>
      <c r="P30" s="2666"/>
      <c r="Q30" s="2666"/>
      <c r="R30" s="2666"/>
      <c r="S30" s="2666"/>
      <c r="T30" s="2666"/>
      <c r="U30" s="2666"/>
      <c r="V30" s="2666"/>
    </row>
    <row r="31" spans="1:28">
      <c r="A31" s="3125" t="s">
        <v>2963</v>
      </c>
      <c r="B31" s="2649" t="s">
        <v>3061</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2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2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2964</v>
      </c>
      <c r="B34" s="2215"/>
      <c r="C34" s="2215"/>
      <c r="D34" s="2215"/>
      <c r="E34" s="2215"/>
      <c r="F34" s="2215"/>
      <c r="G34" s="2215"/>
      <c r="H34" s="2215"/>
      <c r="I34" s="2892"/>
      <c r="J34" s="2666"/>
      <c r="K34" s="2654">
        <f>COUNTIF(B34:H34,"——")</f>
        <v>0</v>
      </c>
      <c r="L34" s="329" t="s">
        <v>2965</v>
      </c>
      <c r="M34" s="329" t="s">
        <v>2966</v>
      </c>
      <c r="N34" s="329" t="s">
        <v>2967</v>
      </c>
      <c r="O34" s="329" t="s">
        <v>2968</v>
      </c>
      <c r="P34" s="329" t="s">
        <v>2969</v>
      </c>
      <c r="Q34" s="329" t="s">
        <v>2970</v>
      </c>
      <c r="R34" s="329" t="s">
        <v>2971</v>
      </c>
      <c r="S34" s="3120" t="s">
        <v>2972</v>
      </c>
      <c r="T34" s="2655" t="str">
        <f>NUMBERSTRING(7-K34,1)&amp;"通"</f>
        <v>七通</v>
      </c>
      <c r="U34" s="2666"/>
      <c r="V34" s="2666"/>
    </row>
    <row r="35" spans="1:30">
      <c r="A35" s="2656"/>
      <c r="B35" s="3127" t="s">
        <v>2973</v>
      </c>
      <c r="C35" s="3127"/>
      <c r="D35" s="3127"/>
      <c r="E35" s="312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66"/>
      <c r="V35" s="2666"/>
    </row>
    <row r="36" spans="1:30">
      <c r="A36" s="2657"/>
      <c r="B36" s="673" t="s">
        <v>2929</v>
      </c>
      <c r="C36" s="673" t="s">
        <v>2930</v>
      </c>
      <c r="D36" s="673" t="s">
        <v>2928</v>
      </c>
      <c r="E36" s="673" t="s">
        <v>2933</v>
      </c>
      <c r="F36" s="2898"/>
      <c r="G36" s="2892"/>
      <c r="H36" s="2892"/>
      <c r="I36" s="2892"/>
      <c r="J36" s="2666"/>
      <c r="K36" s="2843"/>
      <c r="L36" s="2840"/>
      <c r="M36" s="2840"/>
      <c r="N36" s="2666"/>
      <c r="O36" s="2677"/>
      <c r="P36" s="2666"/>
      <c r="Q36" s="2666"/>
      <c r="R36" s="2666"/>
      <c r="S36" s="2666"/>
      <c r="T36" s="2666"/>
      <c r="U36" s="2666"/>
      <c r="V36" s="2666"/>
    </row>
    <row r="37" spans="1:30">
      <c r="A37" s="2858" t="s">
        <v>2974</v>
      </c>
      <c r="B37" s="2658" t="s">
        <v>442</v>
      </c>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2975</v>
      </c>
      <c r="B38" s="2659" t="s">
        <v>215</v>
      </c>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2976</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2977</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2978</v>
      </c>
      <c r="B42" s="11" t="s">
        <v>2979</v>
      </c>
      <c r="C42" s="11" t="s">
        <v>2980</v>
      </c>
      <c r="D42" s="11" t="s">
        <v>2981</v>
      </c>
      <c r="E42" s="11" t="s">
        <v>2982</v>
      </c>
      <c r="F42" s="11" t="s">
        <v>2983</v>
      </c>
      <c r="G42" s="11" t="s">
        <v>2984</v>
      </c>
      <c r="H42" s="11" t="s">
        <v>2985</v>
      </c>
      <c r="I42" s="11" t="s">
        <v>2986</v>
      </c>
      <c r="J42" s="2854" t="s">
        <v>2987</v>
      </c>
      <c r="K42" s="2855" t="s">
        <v>2988</v>
      </c>
      <c r="L42" s="2855" t="s">
        <v>2989</v>
      </c>
      <c r="M42" s="2855" t="s">
        <v>2990</v>
      </c>
      <c r="N42" s="2848" t="s">
        <v>2991</v>
      </c>
      <c r="O42" s="2848" t="s">
        <v>2992</v>
      </c>
      <c r="P42" s="2848" t="s">
        <v>2993</v>
      </c>
      <c r="Q42" s="2849" t="s">
        <v>2994</v>
      </c>
      <c r="R42" s="2849" t="s">
        <v>2995</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1000</v>
      </c>
      <c r="B3" s="14">
        <f>IF(C3="否",G5-AT5,G5)</f>
        <v>6787.95</v>
      </c>
      <c r="C3" s="1766" t="s">
        <v>3068</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6787.95</v>
      </c>
      <c r="H5" s="16">
        <f t="shared" ref="H5:AT5" si="0">SUM(H13:H656)</f>
        <v>6787.95</v>
      </c>
      <c r="I5" s="16">
        <f t="shared" si="0"/>
        <v>6152.41</v>
      </c>
      <c r="J5" s="16">
        <f t="shared" si="0"/>
        <v>0</v>
      </c>
      <c r="K5" s="16">
        <f t="shared" si="0"/>
        <v>635.54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6787.95</v>
      </c>
      <c r="BA5" s="18">
        <f t="shared" si="1"/>
        <v>6787.95</v>
      </c>
      <c r="BB5" s="18">
        <f t="shared" si="1"/>
        <v>6152.41</v>
      </c>
      <c r="BC5" s="18">
        <f t="shared" si="1"/>
        <v>635.54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1000</v>
      </c>
      <c r="F6" s="16" t="s">
        <v>1</v>
      </c>
      <c r="G6" s="16" t="s">
        <v>2</v>
      </c>
      <c r="H6" s="20">
        <f>SUMIF(I$12:AB$12,"总值",I6:AB6)</f>
        <v>1000</v>
      </c>
      <c r="I6" s="16">
        <f t="shared" ref="I6:AB6" si="2">ROUND($A$3*I5/$B$3,2)</f>
        <v>906.37</v>
      </c>
      <c r="J6" s="16">
        <f t="shared" si="2"/>
        <v>0</v>
      </c>
      <c r="K6" s="16">
        <f t="shared" si="2"/>
        <v>93.63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1000</v>
      </c>
      <c r="AZ6" s="16" t="s">
        <v>3</v>
      </c>
      <c r="BA6" s="16">
        <f>ROUND($AY$6*BA5/$AZ$5,2)</f>
        <v>1000</v>
      </c>
      <c r="BB6" s="16">
        <f>ROUND($AY$6*BB5/$AZ$5,2)</f>
        <v>906.37</v>
      </c>
      <c r="BC6" s="16">
        <f t="shared" ref="BC6:BH6" si="4">ROUND($AY$6*BC5/$AZ$5,2)</f>
        <v>93.63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3069</v>
      </c>
      <c r="J9" s="918"/>
      <c r="K9" s="1789" t="s">
        <v>3071</v>
      </c>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89" t="s">
        <v>1343</v>
      </c>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t="str">
        <f>K9</f>
        <v>地下</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3070</v>
      </c>
      <c r="J11" s="1801"/>
      <c r="K11" s="1800" t="s">
        <v>3070</v>
      </c>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t="str">
        <f>K10</f>
        <v>商业</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独立商业</v>
      </c>
      <c r="BC12" s="1810" t="str">
        <f>K11</f>
        <v>独立商业</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3068</v>
      </c>
      <c r="E13" s="16">
        <f>IF($C$3="是",ROUND($A$3*G13/$B$3,2),ROUND($A$3*(G13-AT13)/$B$3,2))</f>
        <v>1000</v>
      </c>
      <c r="F13" s="32"/>
      <c r="G13" s="33">
        <f>H13+AC13+AT13</f>
        <v>6787.95</v>
      </c>
      <c r="H13" s="20">
        <f>SUMIF(I$12:AB$12,"总值",I13:AB13)</f>
        <v>6787.95</v>
      </c>
      <c r="I13" s="1812">
        <v>6152.41</v>
      </c>
      <c r="J13" s="1812"/>
      <c r="K13" s="1812">
        <v>635.54</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1000</v>
      </c>
      <c r="AZ13" s="16">
        <f>BA13+BL13</f>
        <v>6787.95</v>
      </c>
      <c r="BA13" s="16">
        <f>SUM(BB13:BK13)</f>
        <v>6787.95</v>
      </c>
      <c r="BB13" s="16">
        <f>IF($D13="是",I13-J13,0)</f>
        <v>6152.41</v>
      </c>
      <c r="BC13" s="16">
        <f>IF($D13="是",K13-L13,0)</f>
        <v>635.54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0" sqref="F5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39" t="s">
        <v>1816</v>
      </c>
      <c r="B2" s="3139"/>
      <c r="C2" s="3139"/>
      <c r="D2" s="904" t="s">
        <v>1792</v>
      </c>
      <c r="E2" s="1825" t="s">
        <v>1793</v>
      </c>
      <c r="F2" s="2887"/>
      <c r="G2" s="2878"/>
      <c r="H2" s="2879"/>
      <c r="I2" s="2549" t="s">
        <v>1817</v>
      </c>
      <c r="J2" s="2887"/>
      <c r="K2" s="2887"/>
      <c r="L2" s="2887"/>
      <c r="M2" s="2887"/>
      <c r="N2" s="2889"/>
      <c r="O2" s="2887"/>
      <c r="P2" s="2887"/>
    </row>
    <row r="3" spans="1:16" ht="15.75" thickBot="1">
      <c r="A3" s="3140" t="s">
        <v>1790</v>
      </c>
      <c r="B3" s="3140"/>
      <c r="C3" s="3140"/>
      <c r="D3" s="46">
        <f>'数据-基础表'!AY6</f>
        <v>1000</v>
      </c>
      <c r="E3" s="46">
        <f>'数据-基础表'!AZ5</f>
        <v>6787.95</v>
      </c>
      <c r="F3" s="2887"/>
      <c r="G3" s="1307"/>
      <c r="H3" s="1157" t="s">
        <v>1791</v>
      </c>
      <c r="I3" s="964">
        <f>ROUND('数据-基础表'!B3/'数据-基础表'!A3,2)</f>
        <v>6.79</v>
      </c>
      <c r="J3" s="2887"/>
      <c r="K3" s="2887"/>
      <c r="L3" s="2887"/>
      <c r="M3" s="2887"/>
      <c r="N3" s="2889"/>
      <c r="O3" s="2887"/>
      <c r="P3" s="2887"/>
    </row>
    <row r="4" spans="1:16" ht="15">
      <c r="A4" s="3141"/>
      <c r="B4" s="3142"/>
      <c r="C4" s="3143"/>
      <c r="D4" s="1827" t="s">
        <v>1792</v>
      </c>
      <c r="E4" s="1828" t="s">
        <v>1793</v>
      </c>
      <c r="F4" s="2887"/>
      <c r="G4" s="2880" t="s">
        <v>1818</v>
      </c>
      <c r="H4" s="1157" t="s">
        <v>1798</v>
      </c>
      <c r="I4" s="964">
        <f>ROUND(SUMIF('数据-基础表'!I9:AS9,"地上",'数据-基础表'!I5:AS5)/'数据-基础表'!A3,2)</f>
        <v>6.15</v>
      </c>
      <c r="J4" s="2887"/>
      <c r="K4" s="2887"/>
      <c r="L4" s="2887"/>
      <c r="M4" s="2887"/>
      <c r="N4" s="2889"/>
      <c r="O4" s="2887"/>
      <c r="P4" s="2887"/>
    </row>
    <row r="5" spans="1:16">
      <c r="A5" s="47" t="s">
        <v>1794</v>
      </c>
      <c r="B5" s="3144" t="s">
        <v>1795</v>
      </c>
      <c r="C5" s="3144"/>
      <c r="D5" s="48">
        <f>ROUND($D$3*E5/$E$3,2)</f>
        <v>0</v>
      </c>
      <c r="E5" s="49">
        <f>SUMIF('数据-基础表'!$11:$11,"住宅",'数据-基础表'!$5:$5)</f>
        <v>0</v>
      </c>
      <c r="F5" s="2887"/>
      <c r="G5" s="1307"/>
      <c r="H5" s="1157" t="s">
        <v>1791</v>
      </c>
      <c r="I5" s="964">
        <f>ROUND(E31/D31,2)</f>
        <v>6.79</v>
      </c>
      <c r="J5" s="2887"/>
      <c r="K5" s="2887"/>
      <c r="L5" s="2887"/>
      <c r="M5" s="2887"/>
      <c r="N5" s="2887"/>
      <c r="O5" s="2887"/>
      <c r="P5" s="2887"/>
    </row>
    <row r="6" spans="1:16" ht="15" thickBot="1">
      <c r="A6" s="1830"/>
      <c r="B6" s="3144" t="s">
        <v>1796</v>
      </c>
      <c r="C6" s="3144"/>
      <c r="D6" s="48">
        <f>ROUND($D$3*E6/$E$3,2)</f>
        <v>1000</v>
      </c>
      <c r="E6" s="49">
        <f>E3-E5</f>
        <v>6787.95</v>
      </c>
      <c r="F6" s="2887"/>
      <c r="G6" s="2881" t="s">
        <v>1797</v>
      </c>
      <c r="H6" s="1308" t="s">
        <v>1798</v>
      </c>
      <c r="I6" s="2882">
        <f>ROUND(F31/D31,2)</f>
        <v>6.15</v>
      </c>
      <c r="J6" s="2887"/>
      <c r="K6" s="2887"/>
      <c r="L6" s="2887"/>
      <c r="M6" s="2887"/>
      <c r="N6" s="2887"/>
      <c r="O6" s="2887"/>
      <c r="P6" s="2887"/>
    </row>
    <row r="7" spans="1:16" ht="15.75" thickBot="1">
      <c r="A7" s="3136"/>
      <c r="B7" s="3137"/>
      <c r="C7" s="3138"/>
      <c r="D7" s="1827" t="s">
        <v>1792</v>
      </c>
      <c r="E7" s="1831" t="s">
        <v>1799</v>
      </c>
      <c r="F7" s="2887"/>
      <c r="G7" s="2883" t="s">
        <v>1800</v>
      </c>
      <c r="H7" s="2884"/>
      <c r="I7" s="2885"/>
      <c r="J7" s="2887"/>
      <c r="K7" s="2887"/>
      <c r="L7" s="2887"/>
      <c r="M7" s="2887"/>
      <c r="N7" s="2887"/>
      <c r="O7" s="2887"/>
      <c r="P7" s="2887"/>
    </row>
    <row r="8" spans="1:16">
      <c r="A8" s="47" t="s">
        <v>1801</v>
      </c>
      <c r="B8" s="50" t="s">
        <v>1802</v>
      </c>
      <c r="C8" s="48" t="s">
        <v>1803</v>
      </c>
      <c r="D8" s="48">
        <f t="shared" ref="D8:D15" si="0">ROUND($D$3*E8/$E$3,2)</f>
        <v>906.37</v>
      </c>
      <c r="E8" s="51">
        <f>SUMIF('数据-基础表'!BB10:BK10,"地上",'数据-基础表'!BB5:BK5)</f>
        <v>6152.41</v>
      </c>
      <c r="F8" s="2887"/>
      <c r="G8" s="2888"/>
      <c r="H8" s="2888"/>
      <c r="I8" s="2887"/>
      <c r="J8" s="2887"/>
      <c r="K8" s="2887"/>
      <c r="L8" s="2887"/>
      <c r="M8" s="2887"/>
      <c r="N8" s="2887"/>
      <c r="O8" s="2887"/>
      <c r="P8" s="2887"/>
    </row>
    <row r="9" spans="1:16">
      <c r="A9" s="1832"/>
      <c r="B9" s="1833"/>
      <c r="C9" s="48" t="s">
        <v>1804</v>
      </c>
      <c r="D9" s="48">
        <f t="shared" si="0"/>
        <v>0</v>
      </c>
      <c r="E9" s="52">
        <v>0</v>
      </c>
      <c r="F9" s="2887"/>
      <c r="G9" s="2888"/>
      <c r="H9" s="2888"/>
      <c r="I9" s="2887"/>
      <c r="J9" s="2887"/>
      <c r="K9" s="2887"/>
      <c r="L9" s="2887"/>
      <c r="M9" s="2887"/>
      <c r="N9" s="2887"/>
      <c r="O9" s="2887"/>
      <c r="P9" s="2887"/>
    </row>
    <row r="10" spans="1:16">
      <c r="A10" s="1832"/>
      <c r="B10" s="1833"/>
      <c r="C10" s="48" t="s">
        <v>1813</v>
      </c>
      <c r="D10" s="48">
        <f t="shared" si="0"/>
        <v>93.63</v>
      </c>
      <c r="E10" s="51">
        <f>SUMPRODUCT(('数据-基础表'!BB10:BK10="地下")*('数据-基础表'!BB11:BK11="商业")*('数据-基础表'!BB5:BK5))</f>
        <v>635.54</v>
      </c>
      <c r="F10" s="2887"/>
      <c r="G10" s="2888"/>
      <c r="H10" s="2888"/>
      <c r="I10" s="2887"/>
      <c r="J10" s="2887"/>
      <c r="K10" s="2887"/>
      <c r="L10" s="2887"/>
      <c r="M10" s="2887"/>
      <c r="N10" s="2887"/>
      <c r="O10" s="2887"/>
      <c r="P10" s="2887"/>
    </row>
    <row r="11" spans="1:16">
      <c r="A11" s="1832"/>
      <c r="B11" s="1833"/>
      <c r="C11" s="48" t="s">
        <v>1805</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1806</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1807</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1819</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1814</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1808</v>
      </c>
      <c r="D16" s="50">
        <f>SUM(D8:D15)</f>
        <v>1000</v>
      </c>
      <c r="E16" s="53">
        <f>SUM(E8:E15)</f>
        <v>6787.95</v>
      </c>
      <c r="F16" s="2887"/>
      <c r="G16" s="2888"/>
      <c r="H16" s="1834" t="s">
        <v>1820</v>
      </c>
      <c r="I16" s="1835"/>
      <c r="J16" s="1301"/>
      <c r="K16" s="3133" t="s">
        <v>1820</v>
      </c>
      <c r="L16" s="3134"/>
      <c r="M16" s="3134"/>
      <c r="N16" s="3134"/>
      <c r="O16" s="3134"/>
      <c r="P16" s="3135"/>
    </row>
    <row r="17" spans="1:19" ht="15">
      <c r="A17" s="1836" t="s">
        <v>1821</v>
      </c>
      <c r="B17" s="1837" t="s">
        <v>1822</v>
      </c>
      <c r="C17" s="1838" t="s">
        <v>1823</v>
      </c>
      <c r="D17" s="1839" t="s">
        <v>1811</v>
      </c>
      <c r="E17" s="1840" t="s">
        <v>1812</v>
      </c>
      <c r="F17" s="1841"/>
      <c r="G17" s="1842"/>
      <c r="H17" s="1843" t="s">
        <v>1824</v>
      </c>
      <c r="I17" s="1844" t="s">
        <v>1809</v>
      </c>
      <c r="J17" s="1301"/>
      <c r="K17" s="3130" t="s">
        <v>1825</v>
      </c>
      <c r="L17" s="3131"/>
      <c r="M17" s="3132"/>
      <c r="N17" s="3130" t="s">
        <v>1826</v>
      </c>
      <c r="O17" s="3131"/>
      <c r="P17" s="3132"/>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4" t="s">
        <v>3072</v>
      </c>
      <c r="D19" s="48">
        <f>ROUND($D$3*E19/$E$3,2)</f>
        <v>1000</v>
      </c>
      <c r="E19" s="56">
        <f t="shared" ref="E19:E26" si="1">SUM(F19:G19)</f>
        <v>6787.95</v>
      </c>
      <c r="F19" s="3027">
        <v>6152.41</v>
      </c>
      <c r="G19" s="3028">
        <v>635.54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1000</v>
      </c>
      <c r="S19" s="1158">
        <f t="shared" si="5"/>
        <v>6787.95</v>
      </c>
    </row>
    <row r="20" spans="1:19">
      <c r="A20" s="1857"/>
      <c r="B20" s="50" t="s">
        <v>1838</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1000</v>
      </c>
      <c r="E27" s="1303">
        <f>IF(SUM(E19:E26)='数据-基础表'!BA5,SUM(E19:E26),IF(F27="地上面积有误","面积有误","地下面积有误"))</f>
        <v>6787.95</v>
      </c>
      <c r="F27" s="1302">
        <f>IF(SUM(F19:F26)=E8,SUM(F19:F26),"地上面积有误")</f>
        <v>6152.41</v>
      </c>
      <c r="G27" s="1304">
        <f>SUM(G19:G26)</f>
        <v>635.54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1000</v>
      </c>
      <c r="S27" s="1157">
        <f>IF(SUM(S19:S26)=$E$3,SUM(S19:S26),SUM(S19:S26)&amp;"误差"&amp;ROUND(SUM(S19:S26)-E3,2))</f>
        <v>6787.95</v>
      </c>
    </row>
    <row r="28" spans="1:19">
      <c r="A28" s="1857"/>
      <c r="B28" s="50" t="s">
        <v>1840</v>
      </c>
      <c r="C28" s="1169" t="s">
        <v>1841</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1840</v>
      </c>
      <c r="C29" s="1861" t="s">
        <v>1842</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1839</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1843</v>
      </c>
      <c r="D31" s="685">
        <f>D27+D30</f>
        <v>1000</v>
      </c>
      <c r="E31" s="685">
        <f>E27+E30</f>
        <v>6787.95</v>
      </c>
      <c r="F31" s="686">
        <f>F27+F30</f>
        <v>6152.41</v>
      </c>
      <c r="G31" s="687">
        <f>G27+G30</f>
        <v>635.54</v>
      </c>
      <c r="H31" s="2887"/>
      <c r="I31" s="2887"/>
      <c r="J31" s="2887"/>
      <c r="K31" s="2887"/>
      <c r="L31" s="2887"/>
      <c r="M31" s="2887"/>
      <c r="N31" s="2887"/>
      <c r="O31" s="2887"/>
      <c r="P31" s="2887"/>
    </row>
    <row r="32" spans="1:19">
      <c r="A32" s="1829"/>
      <c r="B32" s="1829" t="s">
        <v>1844</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1846</v>
      </c>
      <c r="B2" s="1176">
        <f>项目基本情况!D3</f>
        <v>44267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6"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3073</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7">
        <f>SUMIF(项目基本情况!D$12:I$12,C6,项目基本情况!D$14:I$14)</f>
        <v>40</v>
      </c>
      <c r="E6" s="966">
        <f>IF(B6="","",SUMIF(项目基本情况!D$12:I$12,C6,项目基本情况!D$13:I$13))</f>
        <v>50714</v>
      </c>
      <c r="F6" s="68">
        <f>SUMIF(项目基本情况!D$12:I$12,C6,项目基本情况!D$15:I$15)</f>
        <v>17.66</v>
      </c>
      <c r="G6" s="69">
        <f>IF(ISERROR(ROUND(POWER(1+H6,D6-F6)*(POWER(1+H6,F6)-1)/(POWER(1+H6,D6)-1),3)),0,ROUND(POWER(1+H6,D6-F6)*(POWER(1+H6,F6)-1)/(POWER(1+H6,D6)-1),3))</f>
        <v>0.67300000000000004</v>
      </c>
      <c r="H6" s="741">
        <v>0.05</v>
      </c>
      <c r="I6" s="741">
        <v>5.5E-2</v>
      </c>
      <c r="J6" s="70">
        <v>8.5000000000000006E-2</v>
      </c>
      <c r="K6" s="1161">
        <f>SUMIF('数据-汇总表'!C$19:C$33,A6,'数据-汇总表'!E$19:E$33)</f>
        <v>6787.95</v>
      </c>
      <c r="L6" s="742">
        <v>4000</v>
      </c>
      <c r="M6" s="71">
        <f t="shared" ref="M6:M14" si="0">ROUND(K6*L6/10000,0)</f>
        <v>2715</v>
      </c>
      <c r="N6" s="740">
        <v>0.8</v>
      </c>
      <c r="O6" s="71" t="str">
        <f>IF($N$5="成新度","——",ROUND(M6*N6,0))</f>
        <v>——</v>
      </c>
      <c r="P6" s="72" t="str">
        <f>IF($N$5="成新度","——",M6-O6)</f>
        <v>——</v>
      </c>
      <c r="Q6" s="743">
        <v>0.15</v>
      </c>
      <c r="R6" s="73">
        <f ca="1">SUMIF('数据-汇总表'!C$19:C$33,A6,'数据-汇总表'!R$19:R$27)</f>
        <v>1000</v>
      </c>
      <c r="S6" s="54">
        <f>IF('数据-汇总表'!$I$17="按面积比例",SUMIF('数据-汇总表'!C$19:C$33,A6,'数据-汇总表'!K$19:K$33),SUMIF('数据-汇总表'!C$19:C$33,A6,'数据-汇总表'!N$19:N$33))</f>
        <v>0</v>
      </c>
      <c r="T6" s="1334">
        <f>ROUND($L$14*S6/10000,0)</f>
        <v>0</v>
      </c>
      <c r="U6" s="74">
        <v>5</v>
      </c>
      <c r="V6" s="75">
        <v>2.5000000000000001E-2</v>
      </c>
      <c r="W6" s="75">
        <v>0.1</v>
      </c>
      <c r="X6" s="1171"/>
      <c r="Y6" s="76">
        <f>N6</f>
        <v>0.8</v>
      </c>
      <c r="Z6" s="77"/>
      <c r="AA6" s="70"/>
      <c r="AB6" s="70"/>
      <c r="AC6" s="1171"/>
      <c r="AD6" s="78"/>
      <c r="AE6" s="1172">
        <f ca="1">IF(AN6="",0,SUMIF(INDIRECT("'"&amp;AN6&amp;"'"&amp;"!E:E"),$AE$5,INDIRECT("'"&amp;AN6&amp;"'"&amp;"!F:F")))</f>
        <v>17.66</v>
      </c>
      <c r="AF6" s="1533"/>
      <c r="AG6" s="143">
        <f>IF(AF6="",0,AE6-AF6)</f>
        <v>0</v>
      </c>
      <c r="AH6" s="79"/>
      <c r="AI6" s="81">
        <v>365</v>
      </c>
      <c r="AJ6" s="82"/>
      <c r="AK6" s="83">
        <v>0.02</v>
      </c>
      <c r="AL6" s="84">
        <v>1.5E-3</v>
      </c>
      <c r="AM6" s="85">
        <v>0.03</v>
      </c>
      <c r="AN6" s="1902" t="s">
        <v>3074</v>
      </c>
      <c r="AO6" s="55">
        <f ca="1">SUMIF(INDIRECT("'"&amp;AN6&amp;"'"&amp;"!A:A"),"总价",INDIRECT("'"&amp;AN6&amp;"'"&amp;"!B:B"))</f>
        <v>10804</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0.67300000000000004</v>
      </c>
      <c r="H16" s="95">
        <f>ROUND(SUMPRODUCT(H6:H13,K6:K13)/SUMPRODUCT((H6:H13&gt;0)*(K6:K13)),3)</f>
        <v>0.05</v>
      </c>
      <c r="I16" s="96"/>
      <c r="J16" s="96"/>
      <c r="K16" s="97">
        <f>SUM(K6:K15)</f>
        <v>6787.95</v>
      </c>
      <c r="L16" s="98">
        <f>ROUND(M16*10000/SUM(K6:K14),0)</f>
        <v>4000</v>
      </c>
      <c r="M16" s="98">
        <f>SUM(M6:M14)</f>
        <v>2715</v>
      </c>
      <c r="N16" s="99">
        <f>ROUND(SUMPRODUCT(M6:M14,N6:N14)/M16,3)</f>
        <v>0.8</v>
      </c>
      <c r="O16" s="98">
        <f>SUM(O6:O14)</f>
        <v>0</v>
      </c>
      <c r="P16" s="98">
        <f>SUM(P6:P14)</f>
        <v>0</v>
      </c>
      <c r="Q16" s="100">
        <f>ROUND(SUMPRODUCT(Q6:Q13,K6:K13)/SUMPRODUCT((Q6:Q13&gt;0)*(K6:K13)),2)</f>
        <v>0.15</v>
      </c>
      <c r="R16" s="1165">
        <f ca="1">SUM(R6:R13)</f>
        <v>1000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1895</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1896</v>
      </c>
      <c r="B19" s="108">
        <v>0</v>
      </c>
      <c r="C19" s="3031" t="s">
        <v>3049</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1897</v>
      </c>
      <c r="B20" s="109">
        <v>1</v>
      </c>
      <c r="C20" s="3032" t="s">
        <v>3047</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1898</v>
      </c>
      <c r="B21" s="109">
        <v>1</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1899</v>
      </c>
      <c r="B22" s="110">
        <f>B19+B20</f>
        <v>1</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1900</v>
      </c>
      <c r="B23" s="110">
        <f>B19+B21</f>
        <v>1</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1901</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1902</v>
      </c>
      <c r="B26" s="1913" t="s">
        <v>1903</v>
      </c>
      <c r="C26" s="2907" t="s">
        <v>1904</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1905</v>
      </c>
      <c r="B27" s="112">
        <v>160</v>
      </c>
      <c r="C27" s="3033" t="s">
        <v>3051</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ROUND(B28*K16/10000,0)</f>
        <v>136</v>
      </c>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v>
      </c>
      <c r="C34" s="3035" t="s">
        <v>3040</v>
      </c>
      <c r="D34" s="2914" t="s">
        <v>3048</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1915</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1916</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1917</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3060</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1918</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1919</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1920</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1921</v>
      </c>
      <c r="B44" s="124">
        <v>7.0000000000000007E-2</v>
      </c>
      <c r="C44" s="3035" t="s">
        <v>3052</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1922</v>
      </c>
      <c r="B45" s="122">
        <v>0.03</v>
      </c>
      <c r="C45" s="3034" t="s">
        <v>3044</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1923</v>
      </c>
      <c r="B46" s="122">
        <v>0.02</v>
      </c>
      <c r="C46" s="3034" t="s">
        <v>3045</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1924</v>
      </c>
      <c r="B47" s="125"/>
      <c r="C47" s="3037" t="s">
        <v>3053</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1925</v>
      </c>
      <c r="B48" s="126">
        <v>0.03</v>
      </c>
      <c r="C48" s="3034" t="s">
        <v>3044</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1926</v>
      </c>
      <c r="B49" s="122">
        <v>5.0000000000000001E-4</v>
      </c>
      <c r="C49" s="3034" t="s">
        <v>3046</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1927</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1928</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1929</v>
      </c>
      <c r="B52" s="129">
        <f>SUMIF(A54:A63,B53,B54:B63)</f>
        <v>18</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1930</v>
      </c>
      <c r="B53" s="1925" t="s">
        <v>442</v>
      </c>
      <c r="C53" s="2889" t="s">
        <v>1931</v>
      </c>
      <c r="D53" s="3036" t="s">
        <v>3050</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1932</v>
      </c>
      <c r="B54" s="80">
        <v>30</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1933</v>
      </c>
      <c r="B55" s="80">
        <v>24</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1934</v>
      </c>
      <c r="B56" s="80">
        <v>18</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1935</v>
      </c>
      <c r="B57" s="80">
        <v>12</v>
      </c>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1936</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1937</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1938</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1939</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1940</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1941</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5" t="s">
        <v>3030</v>
      </c>
      <c r="B1" s="3146"/>
      <c r="C1" s="3146"/>
      <c r="D1" s="3146"/>
      <c r="E1" s="3146"/>
      <c r="F1" s="3146"/>
      <c r="G1" s="314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3025</v>
      </c>
      <c r="D2" s="2688"/>
      <c r="E2" s="2685"/>
      <c r="F2" s="2689"/>
      <c r="G2" s="2687" t="s">
        <v>3026</v>
      </c>
      <c r="H2" s="907"/>
      <c r="I2" s="907"/>
      <c r="J2" s="907"/>
      <c r="K2" s="907"/>
      <c r="L2" s="907"/>
      <c r="M2" s="907"/>
      <c r="N2" s="907"/>
      <c r="O2" s="907"/>
      <c r="P2" s="907"/>
      <c r="Q2" s="907"/>
      <c r="R2" s="907"/>
    </row>
    <row r="3" spans="1:29" ht="48">
      <c r="A3" s="2668" t="s">
        <v>3027</v>
      </c>
      <c r="B3" s="2690" t="s">
        <v>2996</v>
      </c>
      <c r="C3" s="2691" t="s">
        <v>3028</v>
      </c>
      <c r="D3" s="2692"/>
      <c r="E3" s="2669" t="s">
        <v>3027</v>
      </c>
      <c r="F3" s="2693" t="s">
        <v>2997</v>
      </c>
      <c r="G3" s="2694" t="s">
        <v>3029</v>
      </c>
      <c r="H3" s="907"/>
      <c r="I3" s="907"/>
      <c r="J3" s="907"/>
      <c r="K3" s="907"/>
      <c r="L3" s="907"/>
      <c r="M3" s="907"/>
      <c r="N3" s="907"/>
      <c r="O3" s="907"/>
      <c r="P3" s="907"/>
      <c r="Q3" s="907"/>
      <c r="R3" s="907"/>
    </row>
    <row r="4" spans="1:29" ht="36.75">
      <c r="A4" s="2669"/>
      <c r="B4" s="329" t="s">
        <v>2998</v>
      </c>
      <c r="C4" s="2695" t="s">
        <v>2999</v>
      </c>
      <c r="D4" s="2692"/>
      <c r="E4" s="2696"/>
      <c r="F4" s="1558" t="s">
        <v>3000</v>
      </c>
      <c r="G4" s="2697" t="s">
        <v>3001</v>
      </c>
      <c r="H4" s="907"/>
      <c r="I4" s="907"/>
      <c r="J4" s="907"/>
      <c r="K4" s="907"/>
      <c r="L4" s="907"/>
      <c r="M4" s="907"/>
      <c r="N4" s="907"/>
      <c r="O4" s="907"/>
      <c r="P4" s="907"/>
      <c r="Q4" s="907"/>
      <c r="R4" s="907"/>
    </row>
    <row r="5" spans="1:29" ht="36.75">
      <c r="A5" s="2669"/>
      <c r="B5" s="329" t="s">
        <v>3002</v>
      </c>
      <c r="C5" s="2695" t="s">
        <v>3003</v>
      </c>
      <c r="D5" s="2692"/>
      <c r="E5" s="2696"/>
      <c r="F5" s="329" t="s">
        <v>3004</v>
      </c>
      <c r="G5" s="2697" t="s">
        <v>3005</v>
      </c>
      <c r="H5" s="907"/>
      <c r="I5" s="907"/>
      <c r="J5" s="907"/>
      <c r="K5" s="907"/>
      <c r="L5" s="907"/>
      <c r="M5" s="907"/>
      <c r="N5" s="907"/>
      <c r="O5" s="907"/>
      <c r="P5" s="907"/>
      <c r="Q5" s="907"/>
      <c r="R5" s="907"/>
    </row>
    <row r="6" spans="1:29" ht="36">
      <c r="A6" s="2669"/>
      <c r="B6" s="329" t="s">
        <v>3006</v>
      </c>
      <c r="C6" s="2697" t="s">
        <v>3001</v>
      </c>
      <c r="D6" s="2692"/>
      <c r="E6" s="2696"/>
      <c r="F6" s="329" t="s">
        <v>3007</v>
      </c>
      <c r="G6" s="2697" t="s">
        <v>3008</v>
      </c>
      <c r="H6" s="907"/>
      <c r="I6" s="907"/>
      <c r="J6" s="907"/>
      <c r="K6" s="907"/>
      <c r="L6" s="907"/>
      <c r="M6" s="907"/>
      <c r="N6" s="907"/>
      <c r="O6" s="907"/>
      <c r="P6" s="907"/>
      <c r="Q6" s="907"/>
      <c r="R6" s="907"/>
    </row>
    <row r="7" spans="1:29" ht="24.75" thickBot="1">
      <c r="A7" s="2669"/>
      <c r="B7" s="329" t="s">
        <v>3004</v>
      </c>
      <c r="C7" s="2697" t="s">
        <v>3005</v>
      </c>
      <c r="D7" s="2698"/>
      <c r="E7" s="2699"/>
      <c r="F7" s="2700" t="s">
        <v>3009</v>
      </c>
      <c r="G7" s="2701" t="s">
        <v>3010</v>
      </c>
      <c r="H7" s="907"/>
      <c r="I7" s="907"/>
      <c r="J7" s="907"/>
      <c r="K7" s="907"/>
      <c r="L7" s="907"/>
      <c r="M7" s="907"/>
      <c r="N7" s="907"/>
      <c r="O7" s="907"/>
      <c r="P7" s="907"/>
      <c r="Q7" s="907"/>
      <c r="R7" s="907"/>
    </row>
    <row r="8" spans="1:29">
      <c r="A8" s="2669"/>
      <c r="B8" s="329" t="s">
        <v>3007</v>
      </c>
      <c r="C8" s="2697" t="s">
        <v>3008</v>
      </c>
      <c r="D8" s="2698"/>
      <c r="E8" s="2698"/>
      <c r="F8" s="2702"/>
      <c r="G8" s="2702"/>
      <c r="H8" s="907"/>
      <c r="I8" s="907"/>
      <c r="J8" s="907"/>
      <c r="K8" s="907"/>
      <c r="L8" s="907"/>
      <c r="M8" s="907"/>
      <c r="N8" s="907"/>
      <c r="O8" s="907"/>
      <c r="P8" s="907"/>
      <c r="Q8" s="907"/>
      <c r="R8" s="907"/>
    </row>
    <row r="9" spans="1:29" ht="24">
      <c r="A9" s="2669"/>
      <c r="B9" s="329" t="s">
        <v>3011</v>
      </c>
      <c r="C9" s="2695" t="s">
        <v>3012</v>
      </c>
      <c r="D9" s="2692"/>
      <c r="E9" s="2698"/>
      <c r="F9" s="2702"/>
      <c r="G9" s="2702"/>
      <c r="H9" s="907"/>
      <c r="I9" s="907"/>
      <c r="J9" s="907"/>
      <c r="K9" s="907"/>
      <c r="L9" s="907"/>
      <c r="M9" s="907"/>
      <c r="N9" s="907"/>
      <c r="O9" s="907"/>
      <c r="P9" s="907"/>
      <c r="Q9" s="907"/>
      <c r="R9" s="907"/>
    </row>
    <row r="10" spans="1:29" s="2708" customFormat="1" ht="15" thickBot="1">
      <c r="A10" s="2670"/>
      <c r="B10" s="2703" t="s">
        <v>3013</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3031</v>
      </c>
      <c r="B13" s="2711"/>
      <c r="C13" s="2711"/>
      <c r="D13" s="2709"/>
      <c r="E13" s="2711"/>
      <c r="F13" s="2711"/>
      <c r="G13" s="2711"/>
    </row>
    <row r="14" spans="1:29" ht="15" thickBot="1">
      <c r="A14" s="2721"/>
      <c r="B14" s="2721"/>
      <c r="C14" s="2722" t="s">
        <v>3014</v>
      </c>
      <c r="D14" s="2692"/>
      <c r="E14" s="2723"/>
      <c r="F14" s="2723"/>
      <c r="G14" s="2687" t="s">
        <v>3015</v>
      </c>
    </row>
    <row r="15" spans="1:29" ht="51">
      <c r="A15" s="2671" t="s">
        <v>3016</v>
      </c>
      <c r="B15" s="2724" t="s">
        <v>2996</v>
      </c>
      <c r="C15" s="2725" t="str">
        <f>C3</f>
        <v>估价对象周边居住用地比例、居住小区规模和社区发展完善程度，综合评价居住社区成熟度一般</v>
      </c>
      <c r="D15" s="2692"/>
      <c r="E15" s="2672" t="s">
        <v>3017</v>
      </c>
      <c r="F15" s="2724" t="s">
        <v>3018</v>
      </c>
      <c r="G15" s="2726" t="str">
        <f>G3</f>
        <v>估价对象位于XX开发区，园区建设成熟度XX，产业集聚程度XX</v>
      </c>
    </row>
    <row r="16" spans="1:29" ht="38.25">
      <c r="A16" s="2673"/>
      <c r="B16" s="2727" t="s">
        <v>2998</v>
      </c>
      <c r="C16" s="2728" t="str">
        <f>C4</f>
        <v>估价对象位于XX商圈，周边商业氛围成熟，人流量大，商业繁华度好</v>
      </c>
      <c r="D16" s="2692"/>
      <c r="E16" s="2674"/>
      <c r="F16" s="2729" t="s">
        <v>3000</v>
      </c>
      <c r="G16" s="2730" t="str">
        <f>G4</f>
        <v>估价对象周边道路状况、公共交通通达情况、停车便捷程度，综合评价交通便捷度较好</v>
      </c>
    </row>
    <row r="17" spans="1:18" ht="38.25">
      <c r="A17" s="2673"/>
      <c r="B17" s="2727" t="s">
        <v>3002</v>
      </c>
      <c r="C17" s="2728" t="str">
        <f>C5</f>
        <v>估价对象位于XX商圈，周边办公楼项目较多，入驻率高，办公集聚程度较好</v>
      </c>
      <c r="D17" s="2698"/>
      <c r="E17" s="2674"/>
      <c r="F17" s="2729" t="s">
        <v>3019</v>
      </c>
      <c r="G17" s="2731"/>
    </row>
    <row r="18" spans="1:18" ht="38.25">
      <c r="A18" s="2673"/>
      <c r="B18" s="2729" t="s">
        <v>3006</v>
      </c>
      <c r="C18" s="2730" t="str">
        <f>C6</f>
        <v>估价对象周边道路状况、公共交通通达情况、停车便捷程度，综合评价交通便捷度较好</v>
      </c>
      <c r="D18" s="2698"/>
      <c r="E18" s="2674"/>
      <c r="F18" s="2729" t="s">
        <v>3009</v>
      </c>
      <c r="G18" s="2730" t="str">
        <f>G7</f>
        <v>该园区内是否有污染型企业，绿化情况，卫生条件，整体环境状况判断</v>
      </c>
    </row>
    <row r="19" spans="1:18" ht="25.5">
      <c r="A19" s="2673"/>
      <c r="B19" s="2729" t="s">
        <v>3020</v>
      </c>
      <c r="C19" s="2731"/>
      <c r="D19" s="2692"/>
      <c r="E19" s="2674"/>
      <c r="F19" s="329" t="s">
        <v>3004</v>
      </c>
      <c r="G19" s="2730" t="str">
        <f>G5</f>
        <v>估价对象所在区域公共配套设施齐备情况</v>
      </c>
    </row>
    <row r="20" spans="1:18" ht="25.5">
      <c r="A20" s="2673"/>
      <c r="B20" s="2729" t="s">
        <v>3021</v>
      </c>
      <c r="C20" s="2728" t="str">
        <f>C9</f>
        <v>区域自然环境：；人文环境；综合评价环境状况一般</v>
      </c>
      <c r="D20" s="2698"/>
      <c r="E20" s="2674"/>
      <c r="F20" s="329" t="s">
        <v>3007</v>
      </c>
      <c r="G20" s="2730" t="str">
        <f>G6</f>
        <v>估价对象所在区域基础设施水平</v>
      </c>
    </row>
    <row r="21" spans="1:18" ht="25.5">
      <c r="A21" s="2673"/>
      <c r="B21" s="329" t="s">
        <v>3004</v>
      </c>
      <c r="C21" s="2730" t="str">
        <f>C7</f>
        <v>估价对象所在区域公共配套设施齐备情况</v>
      </c>
      <c r="D21" s="2692"/>
      <c r="E21" s="2674"/>
      <c r="F21" s="2729" t="s">
        <v>3022</v>
      </c>
      <c r="G21" s="2732"/>
    </row>
    <row r="22" spans="1:18" ht="13.5" customHeight="1">
      <c r="A22" s="2673"/>
      <c r="B22" s="329" t="s">
        <v>3007</v>
      </c>
      <c r="C22" s="2730" t="str">
        <f>C8</f>
        <v>估价对象所在区域基础设施水平</v>
      </c>
      <c r="D22" s="2692"/>
      <c r="E22" s="2674"/>
      <c r="F22" s="2729" t="s">
        <v>3013</v>
      </c>
      <c r="G22" s="2731"/>
    </row>
    <row r="23" spans="1:18" s="907" customFormat="1" ht="15" thickBot="1">
      <c r="A23" s="2673"/>
      <c r="B23" s="2729" t="s">
        <v>3022</v>
      </c>
      <c r="C23" s="2732"/>
      <c r="D23" s="1928"/>
      <c r="E23" s="2675"/>
      <c r="F23" s="2733" t="s">
        <v>3023</v>
      </c>
      <c r="G23" s="2734"/>
      <c r="H23" s="2718"/>
      <c r="I23" s="2719"/>
      <c r="J23" s="2718"/>
      <c r="K23" s="2718"/>
      <c r="L23" s="2719"/>
      <c r="M23" s="2718"/>
      <c r="N23" s="2718"/>
      <c r="O23" s="2719"/>
      <c r="P23" s="2718"/>
      <c r="Q23" s="2718"/>
      <c r="R23" s="2720"/>
    </row>
    <row r="24" spans="1:18" s="907" customFormat="1" ht="15" thickBot="1">
      <c r="A24" s="2676"/>
      <c r="B24" s="2733" t="s">
        <v>3024</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7" sqref="C37"/>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6787.95</v>
      </c>
      <c r="C1" s="2916"/>
      <c r="D1" s="2916"/>
      <c r="E1" s="2916"/>
      <c r="F1" s="2916"/>
      <c r="G1" s="2917"/>
      <c r="H1" s="2918"/>
      <c r="I1" s="2918"/>
      <c r="J1" s="2918"/>
      <c r="K1" s="2918"/>
    </row>
    <row r="2" spans="1:11" ht="16.5">
      <c r="A2" s="2739" t="s">
        <v>1319</v>
      </c>
      <c r="B2" s="2739">
        <f>SUM(C14:C23)</f>
        <v>1000</v>
      </c>
      <c r="C2" s="2916"/>
      <c r="D2" s="2916"/>
      <c r="E2" s="2916"/>
      <c r="F2" s="2916"/>
      <c r="G2" s="2917"/>
      <c r="H2" s="2918"/>
      <c r="I2" s="2918"/>
      <c r="J2" s="2918"/>
      <c r="K2" s="2918"/>
    </row>
    <row r="3" spans="1:11" ht="16.5">
      <c r="A3" s="2739" t="s">
        <v>1328</v>
      </c>
      <c r="B3" s="2741">
        <f>项目基本情况!D3</f>
        <v>44267</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15563</v>
      </c>
      <c r="C5" s="2739">
        <f ca="1">ROUND(B5*10000/$B$1,0)</f>
        <v>22927</v>
      </c>
      <c r="D5" s="2739">
        <f ca="1">ROUND(B5*10000/$B$2,0)</f>
        <v>155630</v>
      </c>
      <c r="E5" s="2916"/>
      <c r="F5" s="2917"/>
      <c r="G5" s="2917"/>
      <c r="H5" s="2918"/>
      <c r="I5" s="2918"/>
      <c r="J5" s="2918"/>
      <c r="K5" s="2918"/>
    </row>
    <row r="6" spans="1:11" ht="16.5">
      <c r="A6" s="2739" t="s">
        <v>1322</v>
      </c>
      <c r="B6" s="2739">
        <f ca="1">SUM(G14:G23)</f>
        <v>15563</v>
      </c>
      <c r="C6" s="2739">
        <f ca="1">ROUND(B6*10000/$B$1,0)</f>
        <v>22927</v>
      </c>
      <c r="D6" s="2739">
        <f ca="1">ROUND(B6*10000/$B$2,0)</f>
        <v>155630</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6787.95</v>
      </c>
      <c r="C14" s="2745">
        <f>结果表!C118</f>
        <v>1000</v>
      </c>
      <c r="D14" s="2745">
        <f ca="1">结果表!G19</f>
        <v>15563</v>
      </c>
      <c r="E14" s="2745">
        <f ca="1">ROUND(D14*10000/B14,0)</f>
        <v>22927</v>
      </c>
      <c r="F14" s="2745">
        <f ca="1">ROUND(D14*10000/C14,0)</f>
        <v>155630</v>
      </c>
      <c r="G14" s="2745">
        <f ca="1">D14</f>
        <v>15563</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E14" sqref="E1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7" t="str">
        <f>项目基本情况!S2</f>
        <v>北京市海淀区四道口11号房地产</v>
      </c>
      <c r="B2" s="3218"/>
      <c r="C2" s="3218"/>
      <c r="D2" s="3218"/>
      <c r="E2" s="3218"/>
      <c r="F2" s="3218"/>
      <c r="G2" s="3218"/>
      <c r="H2" s="3218"/>
      <c r="I2" s="3219"/>
    </row>
    <row r="3" spans="1:12" ht="12.75">
      <c r="A3" s="3221" t="s">
        <v>1949</v>
      </c>
      <c r="B3" s="3222"/>
      <c r="C3" s="3222"/>
      <c r="D3" s="3222"/>
      <c r="E3" s="3222"/>
      <c r="F3" s="3222"/>
      <c r="G3" s="3222"/>
      <c r="H3" s="3222"/>
      <c r="I3" s="3222"/>
    </row>
    <row r="4" spans="1:12" ht="14.25">
      <c r="A4" s="1941" t="s">
        <v>1950</v>
      </c>
      <c r="B4" s="1942" t="s">
        <v>1951</v>
      </c>
      <c r="C4" s="1943" t="s">
        <v>3090</v>
      </c>
      <c r="D4" s="1943" t="s">
        <v>3074</v>
      </c>
      <c r="E4" s="3226" t="s">
        <v>1952</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2" t="s">
        <v>1953</v>
      </c>
      <c r="B5" s="3220">
        <v>25</v>
      </c>
      <c r="C5" s="3223"/>
      <c r="D5" s="3211"/>
      <c r="E5" s="136" t="s">
        <v>1954</v>
      </c>
      <c r="F5" s="1944"/>
      <c r="G5" s="1944"/>
      <c r="H5" s="1944"/>
      <c r="I5" s="1558"/>
    </row>
    <row r="6" spans="1:12" ht="12.75">
      <c r="A6" s="3162"/>
      <c r="B6" s="3220"/>
      <c r="C6" s="3225"/>
      <c r="D6" s="3211"/>
      <c r="E6" s="136" t="s">
        <v>1955</v>
      </c>
      <c r="F6" s="1944"/>
      <c r="G6" s="1944"/>
      <c r="H6" s="1944"/>
      <c r="I6" s="1558"/>
    </row>
    <row r="7" spans="1:12" ht="12.75">
      <c r="A7" s="3162"/>
      <c r="B7" s="3220"/>
      <c r="C7" s="3224"/>
      <c r="D7" s="3211"/>
      <c r="E7" s="136" t="s">
        <v>1956</v>
      </c>
      <c r="F7" s="1944"/>
      <c r="G7" s="1944"/>
      <c r="H7" s="1944"/>
      <c r="I7" s="1558"/>
    </row>
    <row r="8" spans="1:12" ht="12.75">
      <c r="A8" s="3162" t="s">
        <v>1957</v>
      </c>
      <c r="B8" s="3220">
        <v>15</v>
      </c>
      <c r="C8" s="3223"/>
      <c r="D8" s="3211"/>
      <c r="E8" s="136" t="s">
        <v>1958</v>
      </c>
      <c r="F8" s="1944"/>
      <c r="G8" s="1944"/>
      <c r="H8" s="1944"/>
      <c r="I8" s="1558"/>
    </row>
    <row r="9" spans="1:12" ht="12.75">
      <c r="A9" s="3162"/>
      <c r="B9" s="3220"/>
      <c r="C9" s="3224"/>
      <c r="D9" s="3211"/>
      <c r="E9" s="136" t="s">
        <v>1959</v>
      </c>
      <c r="F9" s="1944"/>
      <c r="G9" s="1944"/>
      <c r="H9" s="1944"/>
      <c r="I9" s="1558"/>
    </row>
    <row r="10" spans="1:12" ht="12.75">
      <c r="A10" s="3162" t="s">
        <v>1960</v>
      </c>
      <c r="B10" s="3220">
        <v>15</v>
      </c>
      <c r="C10" s="3223"/>
      <c r="D10" s="3211"/>
      <c r="E10" s="136" t="s">
        <v>1961</v>
      </c>
      <c r="F10" s="1944"/>
      <c r="G10" s="1944"/>
      <c r="H10" s="1944"/>
      <c r="I10" s="1558"/>
    </row>
    <row r="11" spans="1:12" ht="12.75">
      <c r="A11" s="3162"/>
      <c r="B11" s="3220"/>
      <c r="C11" s="3224"/>
      <c r="D11" s="3211"/>
      <c r="E11" s="136" t="s">
        <v>1962</v>
      </c>
      <c r="F11" s="1944"/>
      <c r="G11" s="1944"/>
      <c r="H11" s="1944"/>
      <c r="I11" s="1558"/>
    </row>
    <row r="12" spans="1:12" ht="12.75">
      <c r="A12" s="3162" t="s">
        <v>1963</v>
      </c>
      <c r="B12" s="3220">
        <v>15</v>
      </c>
      <c r="C12" s="3223"/>
      <c r="D12" s="3211"/>
      <c r="E12" s="136" t="s">
        <v>1964</v>
      </c>
      <c r="F12" s="1944"/>
      <c r="G12" s="1944"/>
      <c r="H12" s="1944"/>
      <c r="I12" s="1558"/>
    </row>
    <row r="13" spans="1:12" ht="12.75">
      <c r="A13" s="3162"/>
      <c r="B13" s="3220"/>
      <c r="C13" s="3224"/>
      <c r="D13" s="3211"/>
      <c r="E13" s="136" t="s">
        <v>1965</v>
      </c>
      <c r="F13" s="1944"/>
      <c r="G13" s="1944"/>
      <c r="H13" s="1944"/>
      <c r="I13" s="1558"/>
    </row>
    <row r="14" spans="1:12" ht="12.75">
      <c r="A14" s="3162" t="s">
        <v>1966</v>
      </c>
      <c r="B14" s="3220">
        <v>30</v>
      </c>
      <c r="C14" s="3223">
        <v>6</v>
      </c>
      <c r="D14" s="3211">
        <v>4</v>
      </c>
      <c r="E14" s="136" t="s">
        <v>1967</v>
      </c>
      <c r="F14" s="1944"/>
      <c r="G14" s="1944"/>
      <c r="H14" s="1944"/>
      <c r="I14" s="1558"/>
    </row>
    <row r="15" spans="1:12" ht="12.75">
      <c r="A15" s="3162"/>
      <c r="B15" s="3220"/>
      <c r="C15" s="3225"/>
      <c r="D15" s="3211"/>
      <c r="E15" s="136" t="s">
        <v>1968</v>
      </c>
      <c r="F15" s="1944"/>
      <c r="G15" s="1944"/>
      <c r="H15" s="1944"/>
      <c r="I15" s="1558"/>
    </row>
    <row r="16" spans="1:12" ht="12.75">
      <c r="A16" s="3162"/>
      <c r="B16" s="3220"/>
      <c r="C16" s="3224"/>
      <c r="D16" s="3211"/>
      <c r="E16" s="136" t="s">
        <v>1969</v>
      </c>
      <c r="F16" s="1944"/>
      <c r="G16" s="1944"/>
      <c r="H16" s="1944"/>
      <c r="I16" s="1558"/>
    </row>
    <row r="17" spans="1:36" ht="15">
      <c r="A17" s="1945" t="s">
        <v>1970</v>
      </c>
      <c r="B17" s="60"/>
      <c r="C17" s="137">
        <f>SUM(C5:C16)</f>
        <v>6</v>
      </c>
      <c r="D17" s="137">
        <f>SUM(D5:D16)</f>
        <v>4</v>
      </c>
      <c r="E17" s="134"/>
      <c r="F17" s="134"/>
      <c r="G17" s="134"/>
      <c r="H17" s="134"/>
      <c r="I17" s="134"/>
      <c r="K17" s="308"/>
      <c r="L17" s="308" t="s">
        <v>1971</v>
      </c>
      <c r="M17" s="308" t="s">
        <v>1972</v>
      </c>
    </row>
    <row r="18" spans="1:36" ht="31.9" customHeight="1" thickBot="1">
      <c r="A18" s="1946" t="s">
        <v>1973</v>
      </c>
      <c r="B18" s="1947"/>
      <c r="C18" s="138">
        <f>ROUND(C17/SUM(C17:D17),2)</f>
        <v>0.6</v>
      </c>
      <c r="D18" s="138">
        <f>1-C18</f>
        <v>0.4</v>
      </c>
      <c r="E18" s="3242" t="s">
        <v>2871</v>
      </c>
      <c r="F18" s="3243"/>
      <c r="G18" s="3243"/>
      <c r="H18" s="3243"/>
      <c r="I18" s="3243"/>
      <c r="K18" s="308" t="s">
        <v>1974</v>
      </c>
      <c r="L18" s="308">
        <f>IF(C1="",'数据-汇总表'!E3,SUMIF(项目类型,C1,'数据-汇总表'!E17:E26)+SUMIF(项目类型,C1,'数据-汇总表'!I17:I26))</f>
        <v>6787.95</v>
      </c>
      <c r="M18" s="308">
        <f>IF(C1="",'数据-汇总表'!E3,SUMIF(项目类型,C1,'数据-汇总表'!E17:E26))</f>
        <v>6787.95</v>
      </c>
    </row>
    <row r="19" spans="1:36" ht="15">
      <c r="A19" s="1948" t="s">
        <v>1975</v>
      </c>
      <c r="B19" s="1949" t="s">
        <v>1976</v>
      </c>
      <c r="C19" s="139">
        <f ca="1">SUMIF(INDIRECT("'"&amp;C4&amp;"'"&amp;"!A:A"),结果表!B19,INDIRECT("'"&amp;C4&amp;"'"&amp;"!B:B"))</f>
        <v>18735</v>
      </c>
      <c r="D19" s="140">
        <f ca="1">SUMIF(INDIRECT("'"&amp;D4&amp;"'"&amp;"!A:A"),结果表!B19,INDIRECT("'"&amp;D4&amp;"'"&amp;"!B:B"))</f>
        <v>10804</v>
      </c>
      <c r="E19" s="1948" t="s">
        <v>1977</v>
      </c>
      <c r="F19" s="1949" t="s">
        <v>1976</v>
      </c>
      <c r="G19" s="141">
        <f ca="1">ROUND(C19*$C$18+D19*$D$18,0)</f>
        <v>15563</v>
      </c>
      <c r="H19" s="1950" t="s">
        <v>1978</v>
      </c>
      <c r="I19" s="134"/>
      <c r="K19" s="308" t="s">
        <v>1979</v>
      </c>
      <c r="L19" s="308">
        <f>IF(C1="",'数据-汇总表'!D3,SUMIF(项目类型,C1,'数据-汇总表'!D17:D26)+SUMIF(项目类型,C1,'数据-汇总表'!H17:H27))</f>
        <v>1000</v>
      </c>
      <c r="M19" s="308">
        <f>IF(C1="",'数据-汇总表'!D3,SUMIF(项目类型,C1,'数据-汇总表'!D17:D26))</f>
        <v>1000</v>
      </c>
    </row>
    <row r="20" spans="1:36" ht="15">
      <c r="A20" s="1951"/>
      <c r="B20" s="1157" t="s">
        <v>1980</v>
      </c>
      <c r="C20" s="142">
        <f ca="1">SUMIF(INDIRECT("'"&amp;C4&amp;"'"&amp;"!A:A"),结果表!B20,INDIRECT("'"&amp;C4&amp;"'"&amp;"!B:B"))</f>
        <v>27600</v>
      </c>
      <c r="D20" s="143">
        <f ca="1">SUMIF(INDIRECT("'"&amp;D4&amp;"'"&amp;"!A:A"),结果表!B20,INDIRECT("'"&amp;D4&amp;"'"&amp;"!B:B"))</f>
        <v>15916</v>
      </c>
      <c r="E20" s="1951"/>
      <c r="F20" s="1157" t="s">
        <v>1980</v>
      </c>
      <c r="G20" s="144">
        <f ca="1">ROUND(C20*$C$18+D20*$D$18,0)</f>
        <v>22926</v>
      </c>
      <c r="H20" s="917" t="s">
        <v>1981</v>
      </c>
      <c r="I20" s="134"/>
    </row>
    <row r="21" spans="1:36" ht="15" customHeight="1" thickBot="1">
      <c r="A21" s="937"/>
      <c r="B21" s="1952" t="s">
        <v>1982</v>
      </c>
      <c r="C21" s="728">
        <f ca="1">ROUND(C19*10000/L19,0)</f>
        <v>187350</v>
      </c>
      <c r="D21" s="729">
        <f ca="1">ROUND(D19*10000/L19,0)</f>
        <v>108040</v>
      </c>
      <c r="E21" s="937"/>
      <c r="F21" s="1952" t="s">
        <v>1982</v>
      </c>
      <c r="G21" s="145">
        <f ca="1">ROUND(G19*10000/L19,0)</f>
        <v>155630</v>
      </c>
      <c r="H21" s="1953" t="s">
        <v>1981</v>
      </c>
      <c r="I21" s="134"/>
    </row>
    <row r="22" spans="1:36" ht="15" thickBot="1">
      <c r="A22" s="1875" t="s">
        <v>1983</v>
      </c>
      <c r="B22" s="1954"/>
      <c r="C22" s="1955"/>
      <c r="D22" s="730">
        <f ca="1">IF(C19&lt;D19,D19/C19-1,C19/D19-1)</f>
        <v>0.73407997038134032</v>
      </c>
      <c r="E22" s="134"/>
      <c r="F22" s="134"/>
      <c r="G22" s="134"/>
      <c r="H22" s="134"/>
      <c r="I22" s="134"/>
    </row>
    <row r="23" spans="1:36" ht="13.5" thickBot="1">
      <c r="A23" s="1934"/>
      <c r="B23" s="1934"/>
      <c r="C23" s="1934"/>
      <c r="D23" s="1934"/>
      <c r="E23" s="134"/>
      <c r="F23" s="134"/>
      <c r="G23" s="134"/>
      <c r="H23" s="134"/>
      <c r="I23" s="134"/>
    </row>
    <row r="24" spans="1:36" ht="14.25">
      <c r="A24" s="3235" t="s">
        <v>1984</v>
      </c>
      <c r="B24" s="1949" t="s">
        <v>1976</v>
      </c>
      <c r="C24" s="141">
        <f>IF(B30=0,0,D30)</f>
        <v>0</v>
      </c>
      <c r="D24" s="1956"/>
      <c r="E24" s="134"/>
      <c r="F24" s="134"/>
      <c r="G24" s="134"/>
      <c r="H24" s="134"/>
      <c r="I24" s="134"/>
    </row>
    <row r="25" spans="1:36" ht="14.25">
      <c r="A25" s="3236"/>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1990</v>
      </c>
      <c r="B32" s="1961"/>
      <c r="C32" s="149">
        <f ca="1">IF(D32="总价",G19-C24,G20-C25)</f>
        <v>22926</v>
      </c>
      <c r="D32" s="1962"/>
      <c r="E32" s="134"/>
      <c r="F32" s="134"/>
      <c r="G32" s="134"/>
      <c r="H32" s="134"/>
      <c r="I32" s="134"/>
    </row>
    <row r="33" spans="1:15" ht="15">
      <c r="A33" s="894" t="s">
        <v>1991</v>
      </c>
      <c r="B33" s="1963"/>
      <c r="C33" s="1964"/>
      <c r="D33" s="1965"/>
      <c r="E33" s="1966" t="s">
        <v>1992</v>
      </c>
      <c r="F33" s="1967" t="str">
        <f>IF(D32="楼面单价","取值（单价）","取值（总价）")</f>
        <v>取值（总价）</v>
      </c>
      <c r="G33" s="134"/>
      <c r="H33" s="134"/>
      <c r="I33" s="134"/>
    </row>
    <row r="34" spans="1:15" ht="15">
      <c r="A34" s="1968"/>
      <c r="B34" s="1969"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1994</v>
      </c>
      <c r="F34" s="1499"/>
      <c r="G34" s="134"/>
      <c r="H34" s="134"/>
      <c r="I34" s="134"/>
    </row>
    <row r="35" spans="1:15" ht="15.75" thickBot="1">
      <c r="A35" s="1971"/>
      <c r="B35" s="1972"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1996</v>
      </c>
      <c r="F35" s="159"/>
      <c r="G35" s="134"/>
      <c r="H35" s="134"/>
      <c r="I35" s="134"/>
    </row>
    <row r="36" spans="1:15" ht="15.75" thickBot="1">
      <c r="A36" s="3212" t="s">
        <v>1997</v>
      </c>
      <c r="B36" s="1974" t="s">
        <v>1998</v>
      </c>
      <c r="C36" s="150"/>
      <c r="D36" s="1975"/>
      <c r="E36" s="1976"/>
      <c r="F36" s="1977"/>
      <c r="G36" s="134"/>
      <c r="H36" s="134"/>
      <c r="I36" s="134"/>
    </row>
    <row r="37" spans="1:15" ht="15.75" thickBot="1">
      <c r="A37" s="3213"/>
      <c r="B37" s="1861" t="s">
        <v>1999</v>
      </c>
      <c r="C37" s="152"/>
      <c r="D37" s="1301"/>
      <c r="E37" s="1301"/>
      <c r="F37" s="1977"/>
      <c r="G37" s="134"/>
      <c r="H37" s="134"/>
      <c r="I37" s="134"/>
    </row>
    <row r="38" spans="1:15" ht="15.75" thickBot="1">
      <c r="A38" s="3214"/>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2" t="s">
        <v>2011</v>
      </c>
      <c r="B45" s="3233"/>
      <c r="C45" s="3234"/>
      <c r="D45" s="160" t="e">
        <f ca="1">ROUND(H101*F45,0)</f>
        <v>#REF!</v>
      </c>
      <c r="E45" s="161" t="s">
        <v>2012</v>
      </c>
      <c r="F45" s="162">
        <v>1</v>
      </c>
      <c r="G45" s="163" t="s">
        <v>2013</v>
      </c>
      <c r="H45" s="134"/>
      <c r="I45" s="134"/>
      <c r="J45" s="3149" t="s">
        <v>2014</v>
      </c>
      <c r="K45" s="3149"/>
      <c r="L45" s="3149"/>
      <c r="M45" s="3149"/>
      <c r="N45" s="3149"/>
      <c r="O45" s="3149"/>
    </row>
    <row r="46" spans="1:15" ht="14.25" customHeight="1">
      <c r="A46" s="3229" t="s">
        <v>2015</v>
      </c>
      <c r="B46" s="3230"/>
      <c r="C46" s="3230"/>
      <c r="D46" s="3230"/>
      <c r="E46" s="3230"/>
      <c r="F46" s="3230"/>
      <c r="G46" s="3231"/>
      <c r="H46" s="1993"/>
      <c r="I46" s="164"/>
      <c r="J46" s="2750">
        <v>1</v>
      </c>
      <c r="K46" s="3150" t="s">
        <v>2016</v>
      </c>
      <c r="L46" s="3150"/>
      <c r="M46" s="3151"/>
      <c r="N46" s="3151"/>
      <c r="O46" s="3151"/>
    </row>
    <row r="47" spans="1:15" ht="12" customHeight="1">
      <c r="A47" s="165" t="s">
        <v>2017</v>
      </c>
      <c r="B47" s="166"/>
      <c r="C47" s="167"/>
      <c r="D47" s="1247" t="s">
        <v>2018</v>
      </c>
      <c r="E47" s="308" t="s">
        <v>2019</v>
      </c>
      <c r="F47" s="168" t="s">
        <v>2020</v>
      </c>
      <c r="G47" s="2773" t="s">
        <v>2021</v>
      </c>
      <c r="H47" s="2774"/>
      <c r="I47" s="164"/>
      <c r="J47" s="2750">
        <v>2</v>
      </c>
      <c r="K47" s="3150" t="s">
        <v>2022</v>
      </c>
      <c r="L47" s="3150"/>
      <c r="M47" s="3152">
        <f>'数据-取费表'!B2</f>
        <v>44267</v>
      </c>
      <c r="N47" s="3152"/>
      <c r="O47" s="3152"/>
    </row>
    <row r="48" spans="1:15" ht="25.5">
      <c r="A48" s="3215" t="s">
        <v>2023</v>
      </c>
      <c r="B48" s="3216"/>
      <c r="C48" s="3216"/>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2024</v>
      </c>
      <c r="H48" s="2777"/>
      <c r="I48" s="1993"/>
      <c r="J48" s="2750">
        <v>3</v>
      </c>
      <c r="K48" s="3150" t="s">
        <v>2025</v>
      </c>
      <c r="L48" s="3150"/>
      <c r="M48" s="3153" t="e">
        <f ca="1">H101</f>
        <v>#REF!</v>
      </c>
      <c r="N48" s="3153"/>
      <c r="O48" s="3153"/>
    </row>
    <row r="49" spans="1:35" ht="25.5" customHeight="1">
      <c r="A49" s="2557" t="s">
        <v>2026</v>
      </c>
      <c r="B49" s="3198" t="s">
        <v>2027</v>
      </c>
      <c r="C49" s="3198"/>
      <c r="D49" s="1776">
        <v>0</v>
      </c>
      <c r="E49" s="330" t="s">
        <v>2028</v>
      </c>
      <c r="F49" s="2651" t="s">
        <v>34</v>
      </c>
      <c r="G49" s="3181"/>
      <c r="H49" s="2529" t="s">
        <v>2874</v>
      </c>
      <c r="I49" s="2530"/>
      <c r="J49" s="2750">
        <v>4</v>
      </c>
      <c r="K49" s="3150" t="str">
        <f>IF(项目基本情况!E8="房地产抵押价值","房地产抵押价值","抵押担保权已注销时的房地产抵押价值")</f>
        <v>房地产抵押价值</v>
      </c>
      <c r="L49" s="3150"/>
      <c r="M49" s="3153" t="str">
        <f ca="1">IF(项目基本情况!E8="房地产抵押价值",H107,H109)</f>
        <v>——</v>
      </c>
      <c r="N49" s="3153"/>
      <c r="O49" s="3153"/>
    </row>
    <row r="50" spans="1:35" ht="25.5" customHeight="1">
      <c r="A50" s="2778"/>
      <c r="B50" s="3198" t="s">
        <v>2029</v>
      </c>
      <c r="C50" s="3198"/>
      <c r="D50" s="2779"/>
      <c r="E50" s="338"/>
      <c r="F50" s="2651"/>
      <c r="G50" s="3182"/>
      <c r="H50" s="2531" t="s">
        <v>2875</v>
      </c>
      <c r="I50" s="2530"/>
      <c r="J50" s="3149" t="s">
        <v>2030</v>
      </c>
      <c r="K50" s="3149"/>
      <c r="L50" s="3149"/>
      <c r="M50" s="3149"/>
      <c r="N50" s="3149"/>
      <c r="O50" s="3149"/>
    </row>
    <row r="51" spans="1:35" ht="20.45" customHeight="1">
      <c r="A51" s="2780"/>
      <c r="B51" s="3198" t="s">
        <v>2031</v>
      </c>
      <c r="C51" s="3198"/>
      <c r="D51" s="1247"/>
      <c r="E51" s="333"/>
      <c r="F51" s="2651"/>
      <c r="G51" s="3183"/>
      <c r="H51" s="2531" t="s">
        <v>2876</v>
      </c>
      <c r="I51" s="2530"/>
      <c r="J51" s="2751" t="s">
        <v>2032</v>
      </c>
      <c r="K51" s="3150" t="s">
        <v>2033</v>
      </c>
      <c r="L51" s="3150"/>
      <c r="M51" s="2751" t="s">
        <v>2034</v>
      </c>
      <c r="N51" s="2751" t="s">
        <v>2035</v>
      </c>
      <c r="O51" s="2751" t="s">
        <v>2036</v>
      </c>
    </row>
    <row r="52" spans="1:35" ht="24" customHeight="1">
      <c r="A52" s="2559" t="s">
        <v>2037</v>
      </c>
      <c r="B52" s="3198" t="s">
        <v>2038</v>
      </c>
      <c r="C52" s="3198"/>
      <c r="D52" s="1247" t="e">
        <f ca="1">ROUND(D45*'数据-取费表'!B41/(1+'数据-取费表'!C42),0)</f>
        <v>#REF!</v>
      </c>
      <c r="E52" s="2558" t="s">
        <v>2039</v>
      </c>
      <c r="F52" s="2781">
        <f>'数据-取费表'!B41</f>
        <v>5.6000000000000001E-2</v>
      </c>
      <c r="G52" s="2782"/>
      <c r="H52" s="2771"/>
      <c r="I52" s="1994"/>
      <c r="J52" s="2750">
        <v>1</v>
      </c>
      <c r="K52" s="3175" t="s">
        <v>2040</v>
      </c>
      <c r="L52" s="3175"/>
      <c r="M52" s="2752" t="b">
        <f>D48</f>
        <v>0</v>
      </c>
      <c r="N52" s="2750" t="str">
        <f>E48</f>
        <v>销售额×税（费）率</v>
      </c>
      <c r="O52" s="2753">
        <f>F48</f>
        <v>5.6000000000000001E-2</v>
      </c>
    </row>
    <row r="53" spans="1:35" ht="12" customHeight="1">
      <c r="A53" s="2559" t="s">
        <v>2041</v>
      </c>
      <c r="B53" s="3199" t="s">
        <v>3035</v>
      </c>
      <c r="C53" s="3200"/>
      <c r="D53" s="1247" t="e">
        <f ca="1">ROUND(D45*'数据-取费表'!B41/(1+'数据-取费表'!C42),0)</f>
        <v>#REF!</v>
      </c>
      <c r="E53" s="2558" t="s">
        <v>2039</v>
      </c>
      <c r="F53" s="2781">
        <f>'数据-取费表'!B41</f>
        <v>5.6000000000000001E-2</v>
      </c>
      <c r="G53" s="2782"/>
      <c r="H53" s="2771"/>
      <c r="I53" s="1994"/>
      <c r="J53" s="2750">
        <v>2</v>
      </c>
      <c r="K53" s="3175" t="s">
        <v>2042</v>
      </c>
      <c r="L53" s="3175"/>
      <c r="M53" s="2752" t="e">
        <f t="shared" ref="M53:O54" ca="1" si="0">D55</f>
        <v>#REF!</v>
      </c>
      <c r="N53" s="2750" t="str">
        <f t="shared" si="0"/>
        <v>销售额×税（费）率</v>
      </c>
      <c r="O53" s="2753" t="str">
        <f t="shared" si="0"/>
        <v>免征</v>
      </c>
    </row>
    <row r="54" spans="1:35" ht="12" customHeight="1">
      <c r="A54" s="2559" t="s">
        <v>2043</v>
      </c>
      <c r="B54" s="3199" t="s">
        <v>3036</v>
      </c>
      <c r="C54" s="3200"/>
      <c r="D54" s="1247" t="e">
        <f ca="1">C68</f>
        <v>#REF!</v>
      </c>
      <c r="E54" s="333" t="s">
        <v>2044</v>
      </c>
      <c r="F54" s="2781">
        <f>'数据-取费表'!B41</f>
        <v>5.6000000000000001E-2</v>
      </c>
      <c r="G54" s="2782"/>
      <c r="H54" s="2783"/>
      <c r="I54" s="1994"/>
      <c r="J54" s="2750">
        <v>3</v>
      </c>
      <c r="K54" s="3175" t="s">
        <v>2045</v>
      </c>
      <c r="L54" s="3175"/>
      <c r="M54" s="2752" t="e">
        <f t="shared" ca="1" si="0"/>
        <v>#REF!</v>
      </c>
      <c r="N54" s="2750" t="str">
        <f t="shared" si="0"/>
        <v>增值额×税（费）率</v>
      </c>
      <c r="O54" s="2754" t="str">
        <f t="shared" si="0"/>
        <v>免征</v>
      </c>
    </row>
    <row r="55" spans="1:35" ht="24" customHeight="1">
      <c r="A55" s="3238" t="s">
        <v>2046</v>
      </c>
      <c r="B55" s="3216"/>
      <c r="C55" s="3216"/>
      <c r="D55" s="2548" t="e">
        <f ca="1">IF(H55="个人住宅",0,ROUND(D45*I55,0))</f>
        <v>#REF!</v>
      </c>
      <c r="E55" s="2558" t="s">
        <v>2047</v>
      </c>
      <c r="F55" s="2781" t="str">
        <f>IF(H55="正常",I55,"免征")</f>
        <v>免征</v>
      </c>
      <c r="G55" s="2782"/>
      <c r="H55" s="2777"/>
      <c r="I55" s="170">
        <f>'数据-取费表'!B49</f>
        <v>5.0000000000000001E-4</v>
      </c>
      <c r="J55" s="2750">
        <f>IF(H59="非个人房产","",4)</f>
        <v>4</v>
      </c>
      <c r="K55" s="3175" t="str">
        <f>IF(H59="非个人房产","——","个人所得税")</f>
        <v>个人所得税</v>
      </c>
      <c r="L55" s="3175"/>
      <c r="M55" s="2755" t="e">
        <f ca="1">D59</f>
        <v>#REF!</v>
      </c>
      <c r="N55" s="2229" t="str">
        <f>E59</f>
        <v>差额计税</v>
      </c>
      <c r="O55" s="2756">
        <f>F59</f>
        <v>0.01</v>
      </c>
    </row>
    <row r="56" spans="1:35" ht="24.75">
      <c r="A56" s="3238" t="s">
        <v>2048</v>
      </c>
      <c r="B56" s="3216"/>
      <c r="C56" s="3216"/>
      <c r="D56" s="2548" t="e">
        <f ca="1">IF(H56="个人住宅",D57,D58)</f>
        <v>#REF!</v>
      </c>
      <c r="E56" s="2558" t="s">
        <v>2049</v>
      </c>
      <c r="F56" s="2781" t="str">
        <f>IF(H56="正常",F58,"免征")</f>
        <v>免征</v>
      </c>
      <c r="G56" s="2784" t="s">
        <v>2050</v>
      </c>
      <c r="H56" s="2785"/>
      <c r="I56" s="1995"/>
      <c r="J56" s="2750" t="str">
        <f>IF(项目基本情况!K6="上海银行",IF(J55="",4,J55+1),"")</f>
        <v/>
      </c>
      <c r="K56" s="3156" t="str">
        <f>IF(项目基本情况!K6="上海银行","其他处置费用","")</f>
        <v/>
      </c>
      <c r="L56" s="3157"/>
      <c r="M56" s="2752" t="str">
        <f>IF(项目基本情况!K6="上海银行",M69,"")</f>
        <v/>
      </c>
      <c r="N56" s="3156" t="str">
        <f>IF(项目基本情况!K6="上海银行","包含处置中涉及的律师、诉讼、拍卖、评估等费用","")</f>
        <v/>
      </c>
      <c r="O56" s="3159"/>
    </row>
    <row r="57" spans="1:35" ht="12.75">
      <c r="A57" s="2559" t="s">
        <v>2026</v>
      </c>
      <c r="B57" s="3199" t="s">
        <v>2051</v>
      </c>
      <c r="C57" s="3200"/>
      <c r="D57" s="1776">
        <v>0</v>
      </c>
      <c r="E57" s="330" t="s">
        <v>2028</v>
      </c>
      <c r="F57" s="308"/>
      <c r="G57" s="2782"/>
      <c r="H57" s="2786"/>
      <c r="I57" s="1995"/>
      <c r="J57" s="3175">
        <f>IF(AND(J55="",J56=""),4,IF(项目基本情况!K6="上海银行",结果表!J56+1,结果表!J55+1))</f>
        <v>5</v>
      </c>
      <c r="K57" s="3175" t="s">
        <v>2052</v>
      </c>
      <c r="L57" s="2757" t="s">
        <v>2053</v>
      </c>
      <c r="M57" s="2758"/>
      <c r="N57" s="2759">
        <f ca="1">SUMIF(M52:M56,"&lt;9e307")</f>
        <v>0</v>
      </c>
      <c r="O57" s="2760"/>
      <c r="P57" s="2920" t="e">
        <f ca="1">N57/M49</f>
        <v>#VALUE!</v>
      </c>
    </row>
    <row r="58" spans="1:35" ht="24.75">
      <c r="A58" s="2559" t="s">
        <v>2037</v>
      </c>
      <c r="B58" s="3199" t="s">
        <v>2054</v>
      </c>
      <c r="C58" s="3198"/>
      <c r="D58" s="2548" t="e">
        <f ca="1">IF(H58="转让取得",C81,C97)</f>
        <v>#REF!</v>
      </c>
      <c r="E58" s="2558" t="s">
        <v>2049</v>
      </c>
      <c r="F58" s="308" t="s">
        <v>34</v>
      </c>
      <c r="G58" s="2782"/>
      <c r="H58" s="2785"/>
      <c r="I58" s="1995"/>
      <c r="J58" s="3175"/>
      <c r="K58" s="3175"/>
      <c r="L58" s="2757" t="s">
        <v>2055</v>
      </c>
      <c r="M58" s="2761"/>
      <c r="N58" s="2762" t="str">
        <f ca="1">NUMBERSTRING(INT(N57*10000),2)&amp;"元整"</f>
        <v>零元整</v>
      </c>
      <c r="O58" s="2763"/>
    </row>
    <row r="59" spans="1:35" ht="24.75" thickBot="1">
      <c r="A59" s="3179" t="s">
        <v>2056</v>
      </c>
      <c r="B59" s="3180"/>
      <c r="C59" s="3180"/>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2050</v>
      </c>
      <c r="H59" s="2533"/>
      <c r="I59" s="2532" t="s">
        <v>2877</v>
      </c>
      <c r="J59" s="3177">
        <f>J57+1</f>
        <v>6</v>
      </c>
      <c r="K59" s="3175" t="s">
        <v>2057</v>
      </c>
      <c r="L59" s="2750" t="s">
        <v>2053</v>
      </c>
      <c r="M59" s="2764"/>
      <c r="N59" s="2765" t="e">
        <f ca="1">M49-N57</f>
        <v>#VALUE!</v>
      </c>
      <c r="O59" s="2766"/>
    </row>
    <row r="60" spans="1:35" ht="12" customHeight="1">
      <c r="A60" s="1996"/>
      <c r="B60" s="1934"/>
      <c r="C60" s="1934"/>
      <c r="D60" s="1934"/>
      <c r="E60" s="1764"/>
      <c r="F60" s="1995"/>
      <c r="G60" s="1995"/>
      <c r="H60" s="1997"/>
      <c r="I60" s="134"/>
      <c r="J60" s="3178"/>
      <c r="K60" s="3175"/>
      <c r="L60" s="2757" t="s">
        <v>2055</v>
      </c>
      <c r="M60" s="2761"/>
      <c r="N60" s="2762" t="e">
        <f ca="1">NUMBERSTRING(INT(N59*10000),2)&amp;"元整"</f>
        <v>#VALUE!</v>
      </c>
      <c r="O60" s="2763"/>
    </row>
    <row r="61" spans="1:35" ht="13.5" thickBot="1">
      <c r="A61" s="3237" t="s">
        <v>2058</v>
      </c>
      <c r="B61" s="3237"/>
      <c r="C61" s="3237"/>
      <c r="D61" s="3237"/>
      <c r="E61" s="3237"/>
      <c r="F61" s="1995"/>
      <c r="G61" s="1995"/>
      <c r="H61" s="1997"/>
      <c r="I61" s="134"/>
      <c r="J61" s="2750">
        <f>J59+1</f>
        <v>7</v>
      </c>
      <c r="K61" s="3175" t="s">
        <v>2059</v>
      </c>
      <c r="L61" s="3175"/>
      <c r="M61" s="2767"/>
      <c r="N61" s="2768" t="e">
        <f ca="1">ROUND(N59*10000/'数据-汇总表'!E3,0)</f>
        <v>#VALUE!</v>
      </c>
      <c r="O61" s="2769"/>
    </row>
    <row r="62" spans="1:35" ht="12.75">
      <c r="A62" s="3194" t="s">
        <v>2060</v>
      </c>
      <c r="B62" s="3195"/>
      <c r="C62" s="2210"/>
      <c r="D62" s="2210" t="s">
        <v>2061</v>
      </c>
      <c r="E62" s="171" t="s">
        <v>2062</v>
      </c>
      <c r="F62" s="1995"/>
      <c r="G62" s="1995"/>
      <c r="H62" s="1997"/>
      <c r="I62" s="134"/>
    </row>
    <row r="63" spans="1:35" ht="12.75">
      <c r="A63" s="178" t="s">
        <v>775</v>
      </c>
      <c r="B63" s="172" t="s">
        <v>2063</v>
      </c>
      <c r="C63" s="2791" t="e">
        <f ca="1">ROUND((C64+C65)/(1+'数据-取费表'!C42),0)</f>
        <v>#REF!</v>
      </c>
      <c r="D63" s="172"/>
      <c r="E63" s="173"/>
      <c r="F63" s="1995"/>
      <c r="G63" s="1995"/>
      <c r="H63" s="1997"/>
      <c r="I63" s="134"/>
      <c r="J63" s="3158" t="s">
        <v>2064</v>
      </c>
      <c r="K63" s="1502" t="s">
        <v>2065</v>
      </c>
      <c r="L63" s="1502" t="e">
        <f ca="1">IF(M49&gt;10000,M49*0.5%,IF(AND(M49&gt;1000,M49&lt;=10000),M49*1%,IF(AND(M49&gt;100,M49&lt;=1000),M49*3%,IF(AND(M49&gt;10,M49&lt;=100),M49*5%,M49*8%))))</f>
        <v>#VALUE!</v>
      </c>
      <c r="M63" s="308" t="e">
        <f ca="1">ROUND(L63,1)</f>
        <v>#VALUE!</v>
      </c>
      <c r="N63" s="2770"/>
      <c r="Z63" s="1939"/>
      <c r="AI63" s="1940"/>
    </row>
    <row r="64" spans="1:35" ht="14.25" customHeight="1">
      <c r="A64" s="174" t="s">
        <v>770</v>
      </c>
      <c r="B64" s="175" t="s">
        <v>2066</v>
      </c>
      <c r="C64" s="2792" t="e">
        <f ca="1">D45</f>
        <v>#REF!</v>
      </c>
      <c r="D64" s="175" t="s">
        <v>32</v>
      </c>
      <c r="E64" s="177"/>
      <c r="F64" s="1995"/>
      <c r="G64" s="1995"/>
      <c r="H64" s="1997"/>
      <c r="I64" s="134"/>
      <c r="J64" s="3158"/>
      <c r="K64" s="1502" t="s">
        <v>2067</v>
      </c>
      <c r="L64" s="150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1" t="s">
        <v>2068</v>
      </c>
      <c r="Z64" s="1939"/>
      <c r="AI64" s="1940"/>
    </row>
    <row r="65" spans="1:35" ht="14.25" customHeight="1">
      <c r="A65" s="174" t="s">
        <v>771</v>
      </c>
      <c r="B65" s="175" t="s">
        <v>2069</v>
      </c>
      <c r="C65" s="2793"/>
      <c r="D65" s="175"/>
      <c r="E65" s="177"/>
      <c r="F65" s="1995"/>
      <c r="G65" s="1995"/>
      <c r="H65" s="1997"/>
      <c r="I65" s="134"/>
      <c r="J65" s="3158"/>
      <c r="K65" s="1502" t="s">
        <v>2070</v>
      </c>
      <c r="L65" s="1502" t="e">
        <f ca="1">IF(M49&gt;1000,M49*0.1%,IF(AND(M49&gt;500,M49&lt;=1000),M49*0.5%,IF(AND(M49&gt;50,M49&lt;=500),M49*1%,IF(AND(M49&gt;1,M49&lt;=50),M49*1.5%))))</f>
        <v>#VALUE!</v>
      </c>
      <c r="M65" s="308" t="e">
        <f t="shared" ca="1" si="1"/>
        <v>#VALUE!</v>
      </c>
      <c r="N65" s="2771" t="s">
        <v>2068</v>
      </c>
      <c r="Z65" s="1939"/>
      <c r="AI65" s="1940"/>
    </row>
    <row r="66" spans="1:35" ht="14.25" customHeight="1">
      <c r="A66" s="178" t="s">
        <v>772</v>
      </c>
      <c r="B66" s="179" t="s">
        <v>2071</v>
      </c>
      <c r="C66" s="2794"/>
      <c r="D66" s="179" t="s">
        <v>32</v>
      </c>
      <c r="E66" s="1510" t="s">
        <v>1337</v>
      </c>
      <c r="F66" s="1995"/>
      <c r="G66" s="1995"/>
      <c r="H66" s="1997"/>
      <c r="I66" s="134"/>
      <c r="J66" s="3158"/>
      <c r="K66" s="1502" t="s">
        <v>2072</v>
      </c>
      <c r="L66" s="1502" t="e">
        <f ca="1">M49*0.5%</f>
        <v>#VALUE!</v>
      </c>
      <c r="M66" s="308" t="e">
        <f ca="1">IF(L66&gt;0.5,0.5,ROUND(L66,0))</f>
        <v>#VALUE!</v>
      </c>
      <c r="N66" s="2771" t="s">
        <v>2073</v>
      </c>
      <c r="Z66" s="1939"/>
      <c r="AI66" s="1940"/>
    </row>
    <row r="67" spans="1:35" ht="14.25" customHeight="1">
      <c r="A67" s="178" t="s">
        <v>773</v>
      </c>
      <c r="B67" s="179" t="s">
        <v>2074</v>
      </c>
      <c r="C67" s="2795" t="e">
        <f ca="1">C63-C66</f>
        <v>#REF!</v>
      </c>
      <c r="D67" s="175" t="s">
        <v>32</v>
      </c>
      <c r="E67" s="177"/>
      <c r="F67" s="1995"/>
      <c r="G67" s="1995"/>
      <c r="H67" s="1997"/>
      <c r="I67" s="134"/>
      <c r="J67" s="3158"/>
      <c r="K67" s="1502" t="s">
        <v>2075</v>
      </c>
      <c r="L67" s="150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0"/>
      <c r="Z67" s="1939"/>
      <c r="AI67" s="1940"/>
    </row>
    <row r="68" spans="1:35" ht="14.25" customHeight="1" thickBot="1">
      <c r="A68" s="181" t="s">
        <v>774</v>
      </c>
      <c r="B68" s="182" t="s">
        <v>2076</v>
      </c>
      <c r="C68" s="2796" t="e">
        <f ca="1">IF(C67&lt;=0,0,ROUND(C67*D68,0))</f>
        <v>#REF!</v>
      </c>
      <c r="D68" s="2797">
        <f>'数据-取费表'!B41</f>
        <v>5.6000000000000001E-2</v>
      </c>
      <c r="E68" s="184"/>
      <c r="F68" s="1995"/>
      <c r="G68" s="1995"/>
      <c r="H68" s="1997"/>
      <c r="I68" s="134"/>
      <c r="J68" s="3158"/>
      <c r="K68" s="1502" t="s">
        <v>2077</v>
      </c>
      <c r="L68" s="1502" t="e">
        <f ca="1">IF(M49&gt;10000,M49*0.5%,IF(AND(M49&gt;5000,M49&lt;=10000),M49*1%,IF(AND(M49&gt;1000,M49&lt;=5000),M49*2%,IF(AND(M49&gt;200,M49&lt;=1000),M49*3%,M49*5%))))</f>
        <v>#VALUE!</v>
      </c>
      <c r="M68" s="308" t="e">
        <f ca="1">ROUND(L68,1)</f>
        <v>#VALUE!</v>
      </c>
      <c r="N68" s="2770"/>
      <c r="Z68" s="1939"/>
      <c r="AI68" s="1940"/>
    </row>
    <row r="69" spans="1:35" s="1959" customFormat="1" ht="16.5" customHeight="1">
      <c r="A69" s="1998"/>
      <c r="B69" s="1999"/>
      <c r="C69" s="2000"/>
      <c r="D69" s="2001"/>
      <c r="E69" s="2002"/>
      <c r="F69" s="1764"/>
      <c r="G69" s="1764"/>
      <c r="H69" s="1763"/>
      <c r="I69" s="1934"/>
      <c r="J69" s="3158"/>
      <c r="K69" s="1502" t="s">
        <v>2078</v>
      </c>
      <c r="L69" s="1502"/>
      <c r="M69" s="308" t="e">
        <f ca="1">ROUND(SUM(M63:M68),0)</f>
        <v>#VALUE!</v>
      </c>
      <c r="N69" s="2772" t="e">
        <f ca="1">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2" t="s">
        <v>2079</v>
      </c>
      <c r="B70" s="3203"/>
      <c r="C70" s="3203"/>
      <c r="D70" s="3203"/>
      <c r="E70" s="3203"/>
      <c r="F70" s="3203"/>
      <c r="G70" s="3203"/>
      <c r="H70" s="320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4" t="s">
        <v>2060</v>
      </c>
      <c r="B71" s="3195"/>
      <c r="C71" s="2210"/>
      <c r="D71" s="2210" t="s">
        <v>2061</v>
      </c>
      <c r="E71" s="185" t="s">
        <v>2062</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5" t="e">
        <f ca="1">ROUND(D45/(1+'数据-取费表'!C42),0)</f>
        <v>#REF!</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5"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8"/>
      <c r="D75" s="175" t="s">
        <v>32</v>
      </c>
      <c r="E75" s="190" t="s">
        <v>2084</v>
      </c>
      <c r="F75" s="2799"/>
      <c r="G75" s="190" t="s">
        <v>2085</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0</v>
      </c>
      <c r="D76" s="2801">
        <v>0.05</v>
      </c>
      <c r="E76" s="3199" t="s">
        <v>2087</v>
      </c>
      <c r="F76" s="3198"/>
      <c r="G76" s="3198"/>
      <c r="H76" s="320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0</v>
      </c>
      <c r="D77" s="2802">
        <f>'数据-取费表'!B48+'数据-取费表'!B49</f>
        <v>3.0499999999999999E-2</v>
      </c>
      <c r="E77" s="2548" t="s">
        <v>2089</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3" t="e">
        <f ca="1">ROUND(D45*D78/(1+'数据-取费表'!C42),0)</f>
        <v>#REF!</v>
      </c>
      <c r="D78" s="2804">
        <f>'数据-取费表'!B43</f>
        <v>6.000000000000001E-3</v>
      </c>
      <c r="E78" s="3191" t="s">
        <v>2091</v>
      </c>
      <c r="F78" s="3192"/>
      <c r="G78" s="3192"/>
      <c r="H78" s="319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5"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5"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6" t="e">
        <f ca="1">ROUND(IF(C79&lt;=0,0,IF(C80&gt;=200%,C79*60%-C73*35%,IF(C80&gt;=100%,C79*50%-C73*15%,IF(C80&gt;=50%,C79*40%-C73*5%,IF(C80&lt;50%,C79*30%,0))))),0)</f>
        <v>#REF!</v>
      </c>
      <c r="D81" s="280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2" t="s">
        <v>2095</v>
      </c>
      <c r="B83" s="3203"/>
      <c r="C83" s="3203"/>
      <c r="D83" s="3203"/>
      <c r="E83" s="3203"/>
      <c r="F83" s="3203"/>
      <c r="G83" s="3203"/>
      <c r="H83" s="320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4" t="s">
        <v>2060</v>
      </c>
      <c r="B84" s="3195"/>
      <c r="C84" s="2210"/>
      <c r="D84" s="2210"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5"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5" t="e">
        <f ca="1">IF(H88="仅含出让金",C87+C90+C91+C92+C93+C94,C87+C91+C92+C93+C94)</f>
        <v>#REF!</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9"/>
      <c r="D88" s="2804"/>
      <c r="E88" s="199" t="s">
        <v>2098</v>
      </c>
      <c r="F88" s="2551"/>
      <c r="G88" s="200" t="s">
        <v>2099</v>
      </c>
      <c r="H88" s="2011"/>
      <c r="I88" s="2008"/>
      <c r="J88" s="2748"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3">
        <f>ROUND(C88*D89,0)</f>
        <v>0</v>
      </c>
      <c r="D89" s="2804">
        <f>'数据-取费表'!B48+'数据-取费表'!B49</f>
        <v>3.0499999999999999E-2</v>
      </c>
      <c r="E89" s="199" t="s">
        <v>2100</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9"/>
      <c r="D90" s="2804"/>
      <c r="E90" s="199" t="str">
        <f>IF(H88="-","土地取得成本中已包含该笔费用"," ")</f>
        <v xml:space="preserve"> </v>
      </c>
      <c r="F90" s="2551"/>
      <c r="G90" s="3160" t="s">
        <v>2869</v>
      </c>
      <c r="H90" s="3161"/>
      <c r="I90" s="2008"/>
      <c r="J90" s="2748"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3">
        <f>IF(H91="——",成本法!C33,I91)</f>
        <v>0</v>
      </c>
      <c r="D91" s="2804"/>
      <c r="E91" s="3191" t="s">
        <v>2104</v>
      </c>
      <c r="F91" s="3192"/>
      <c r="G91" s="319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3">
        <f>ROUND((C87+C90+C91)*D92,0)</f>
        <v>0</v>
      </c>
      <c r="D92" s="2810"/>
      <c r="E92" s="3191" t="s">
        <v>2107</v>
      </c>
      <c r="F92" s="3192"/>
      <c r="G92" s="3192"/>
      <c r="H92" s="3193"/>
      <c r="I92" s="2008"/>
      <c r="J92" s="2749"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3" t="e">
        <f ca="1">ROUND(D45*D93/(1+'数据-取费表'!C42),0)</f>
        <v>#REF!</v>
      </c>
      <c r="D93" s="2804">
        <f>'数据-取费表'!B43</f>
        <v>6.000000000000001E-3</v>
      </c>
      <c r="E93" s="3191" t="s">
        <v>2091</v>
      </c>
      <c r="F93" s="3192"/>
      <c r="G93" s="3192"/>
      <c r="H93" s="319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9">
        <f>ROUND((C87+C90+C91)*D94,0)</f>
        <v>0</v>
      </c>
      <c r="D94" s="2804">
        <v>0.2</v>
      </c>
      <c r="E94" s="3239" t="s">
        <v>2111</v>
      </c>
      <c r="F94" s="3240"/>
      <c r="G94" s="3240"/>
      <c r="H94" s="324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5"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5"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6" t="e">
        <f ca="1">ROUND(IF(C95&lt;=0,0,IF(C96&gt;=200%,C95*60%-C86*35%,IF(C96&gt;=100%,C95*50%-C86*15%,IF(C96&gt;=50%,C95*40%-C86*5%,IF(C96&lt;50%,C95*30%,0))))),0)</f>
        <v>#REF!</v>
      </c>
      <c r="D97" s="280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1" t="s">
        <v>2113</v>
      </c>
      <c r="B100" s="3142"/>
      <c r="C100" s="3142"/>
      <c r="D100" s="3176"/>
      <c r="E100" s="3142" t="s">
        <v>2114</v>
      </c>
      <c r="F100" s="3142"/>
      <c r="G100" s="3142"/>
      <c r="H100" s="3176"/>
      <c r="I100" s="134"/>
    </row>
    <row r="101" spans="1:35" ht="18.75" customHeight="1">
      <c r="A101" s="3184" t="s">
        <v>2115</v>
      </c>
      <c r="B101" s="3185"/>
      <c r="C101" s="2812" t="str">
        <f>C4</f>
        <v>成本法</v>
      </c>
      <c r="D101" s="2813" t="str">
        <f>D4</f>
        <v>收益法</v>
      </c>
      <c r="E101" s="3154" t="s">
        <v>2116</v>
      </c>
      <c r="F101" s="3155"/>
      <c r="G101" s="2014" t="s">
        <v>2117</v>
      </c>
      <c r="H101" s="2822" t="e">
        <f ca="1">H118</f>
        <v>#REF!</v>
      </c>
      <c r="I101" s="134"/>
    </row>
    <row r="102" spans="1:35" ht="18.75" customHeight="1">
      <c r="A102" s="3186" t="s">
        <v>2118</v>
      </c>
      <c r="B102" s="2811" t="s">
        <v>2117</v>
      </c>
      <c r="C102" s="2812">
        <f ca="1">C19</f>
        <v>18735</v>
      </c>
      <c r="D102" s="2813">
        <f ca="1">D19</f>
        <v>10804</v>
      </c>
      <c r="E102" s="3154"/>
      <c r="F102" s="3155"/>
      <c r="G102" s="2014" t="s">
        <v>2119</v>
      </c>
      <c r="H102" s="2782" t="e">
        <f ca="1">I118</f>
        <v>#REF!</v>
      </c>
      <c r="I102" s="134"/>
    </row>
    <row r="103" spans="1:35" ht="42.75" customHeight="1">
      <c r="A103" s="3186"/>
      <c r="B103" s="2811" t="s">
        <v>2119</v>
      </c>
      <c r="C103" s="2814">
        <f ca="1">C20</f>
        <v>27600</v>
      </c>
      <c r="D103" s="2815">
        <f ca="1">D20</f>
        <v>15916</v>
      </c>
      <c r="E103" s="3147" t="s">
        <v>2120</v>
      </c>
      <c r="F103" s="3148"/>
      <c r="G103" s="2015" t="s">
        <v>2121</v>
      </c>
      <c r="H103" s="2822">
        <f>IF(D36="正常操作",H104+H105+H106,H105+H106)</f>
        <v>0</v>
      </c>
      <c r="I103" s="134"/>
    </row>
    <row r="104" spans="1:35" ht="18.75" customHeight="1">
      <c r="A104" s="3186" t="s">
        <v>2122</v>
      </c>
      <c r="B104" s="2816" t="s">
        <v>2117</v>
      </c>
      <c r="C104" s="2817" t="e">
        <f ca="1">H118</f>
        <v>#REF!</v>
      </c>
      <c r="D104" s="2818"/>
      <c r="E104" s="1861" t="s">
        <v>2123</v>
      </c>
      <c r="F104" s="1852"/>
      <c r="G104" s="2015" t="s">
        <v>2121</v>
      </c>
      <c r="H104" s="2823">
        <f>IF(D36="同一抵押权人同一抵押物续贷",C36&amp;"（续贷，未扣减，详见特别提示）",C36)</f>
        <v>0</v>
      </c>
      <c r="I104" s="134"/>
    </row>
    <row r="105" spans="1:35" ht="18.75" customHeight="1" thickBot="1">
      <c r="A105" s="3196"/>
      <c r="B105" s="2819" t="s">
        <v>2119</v>
      </c>
      <c r="C105" s="2820" t="e">
        <f ca="1">I118</f>
        <v>#REF!</v>
      </c>
      <c r="D105" s="2821"/>
      <c r="E105" s="1861" t="s">
        <v>2124</v>
      </c>
      <c r="F105" s="1852"/>
      <c r="G105" s="2015" t="s">
        <v>2121</v>
      </c>
      <c r="H105" s="2824">
        <f>C37</f>
        <v>0</v>
      </c>
      <c r="I105" s="134"/>
    </row>
    <row r="106" spans="1:35" ht="18.75" customHeight="1">
      <c r="A106" s="1934" t="s">
        <v>2125</v>
      </c>
      <c r="B106" s="1934"/>
      <c r="C106" s="1934"/>
      <c r="D106" s="1934"/>
      <c r="E106" s="2016" t="s">
        <v>2126</v>
      </c>
      <c r="F106" s="1852"/>
      <c r="G106" s="2015" t="s">
        <v>2121</v>
      </c>
      <c r="H106" s="2824">
        <f>C38</f>
        <v>0</v>
      </c>
      <c r="I106" s="134"/>
    </row>
    <row r="107" spans="1:35" ht="18.75" customHeight="1">
      <c r="A107" s="134"/>
      <c r="B107" s="134"/>
      <c r="C107" s="134"/>
      <c r="D107" s="134"/>
      <c r="E107" s="3187" t="str">
        <f>IF(项目基本情况!E8="已注销","——","3.房地产抵押价值")</f>
        <v>3.房地产抵押价值</v>
      </c>
      <c r="F107" s="3155"/>
      <c r="G107" s="2014" t="s">
        <v>2117</v>
      </c>
      <c r="H107" s="2822" t="e">
        <f ca="1">IF(E107="——","——",H101-H103)</f>
        <v>#REF!</v>
      </c>
      <c r="I107" s="134"/>
    </row>
    <row r="108" spans="1:35" ht="18.75" customHeight="1">
      <c r="A108" s="134"/>
      <c r="B108" s="134"/>
      <c r="C108" s="134"/>
      <c r="D108" s="134"/>
      <c r="E108" s="3187"/>
      <c r="F108" s="3155"/>
      <c r="G108" s="2014" t="s">
        <v>2119</v>
      </c>
      <c r="H108" s="2782" t="e">
        <f ca="1">ROUND(H107*10000/'数据-汇总表'!E3,0)</f>
        <v>#REF!</v>
      </c>
      <c r="I108" s="134"/>
    </row>
    <row r="109" spans="1:35" ht="18.75" customHeight="1">
      <c r="A109" s="134"/>
      <c r="B109" s="134"/>
      <c r="C109" s="134"/>
      <c r="D109" s="134"/>
      <c r="E109" s="3187" t="str">
        <f>IF(项目基本情况!E8="已注销及未注销","4.抵押担保权已注销时的房地产抵押价值",IF(项目基本情况!E8="已注销","3.抵押担保权已注销时的房地产抵押价值","——"))</f>
        <v>——</v>
      </c>
      <c r="F109" s="3155"/>
      <c r="G109" s="2014" t="s">
        <v>2117</v>
      </c>
      <c r="H109" s="2825" t="str">
        <f>IF(E109="——","——",H101-H105-H106)</f>
        <v>——</v>
      </c>
      <c r="I109" s="134"/>
    </row>
    <row r="110" spans="1:35" ht="18.75" customHeight="1">
      <c r="A110" s="134"/>
      <c r="B110" s="134"/>
      <c r="C110" s="134"/>
      <c r="D110" s="134"/>
      <c r="E110" s="3187"/>
      <c r="F110" s="3155"/>
      <c r="G110" s="2014" t="s">
        <v>2119</v>
      </c>
      <c r="H110" s="2782" t="str">
        <f>IF(H109="——","——",ROUND(H109*10000/'数据-汇总表'!E3,0))</f>
        <v>——</v>
      </c>
      <c r="I110" s="134"/>
    </row>
    <row r="111" spans="1:35" ht="18.75" customHeight="1">
      <c r="A111" s="134"/>
      <c r="B111" s="134"/>
      <c r="C111" s="134"/>
      <c r="D111" s="134"/>
      <c r="E111" s="3188" t="str">
        <f>IF(项目基本情况!E9="抵押净值",IF(OR(项目基本情况!E8="已注销",项目基本情况!E8="房地产抵押价值"),"4.抵押净值","5.抵押净值"),"——")</f>
        <v>——</v>
      </c>
      <c r="F111" s="3174"/>
      <c r="G111" s="2014" t="s">
        <v>2117</v>
      </c>
      <c r="H111" s="2822" t="str">
        <f>IF(E111="——","——",N59)</f>
        <v>——</v>
      </c>
      <c r="I111" s="134"/>
    </row>
    <row r="112" spans="1:35" ht="18.75" customHeight="1" thickBot="1">
      <c r="A112" s="134"/>
      <c r="B112" s="134"/>
      <c r="C112" s="134"/>
      <c r="D112" s="134"/>
      <c r="E112" s="3189"/>
      <c r="F112" s="3190"/>
      <c r="G112" s="2017" t="s">
        <v>2119</v>
      </c>
      <c r="H112" s="2826" t="str">
        <f>IF(E111="——","——",N61)</f>
        <v>——</v>
      </c>
      <c r="I112" s="134"/>
    </row>
    <row r="113" spans="1:27" ht="18.75" customHeight="1">
      <c r="A113" s="134"/>
      <c r="B113" s="134"/>
      <c r="C113" s="134"/>
      <c r="D113" s="134"/>
      <c r="E113" s="3197" t="s">
        <v>2125</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08" t="s">
        <v>2127</v>
      </c>
      <c r="B115" s="3209"/>
      <c r="C115" s="3209"/>
      <c r="D115" s="3209"/>
      <c r="E115" s="3209"/>
      <c r="F115" s="3209"/>
      <c r="G115" s="3209"/>
      <c r="H115" s="3209"/>
      <c r="I115" s="3210"/>
    </row>
    <row r="116" spans="1:27" ht="27" customHeight="1">
      <c r="A116" s="3162" t="s">
        <v>2128</v>
      </c>
      <c r="B116" s="3166" t="s">
        <v>2129</v>
      </c>
      <c r="C116" s="3166" t="s">
        <v>2130</v>
      </c>
      <c r="D116" s="3172" t="s">
        <v>2131</v>
      </c>
      <c r="E116" s="3173"/>
      <c r="F116" s="3204" t="s">
        <v>2132</v>
      </c>
      <c r="G116" s="3204"/>
      <c r="H116" s="3162" t="s">
        <v>2133</v>
      </c>
      <c r="I116" s="3162"/>
    </row>
    <row r="117" spans="1:27" ht="18.75" customHeight="1">
      <c r="A117" s="3162"/>
      <c r="B117" s="3167"/>
      <c r="C117" s="3167"/>
      <c r="D117" s="2553" t="s">
        <v>2134</v>
      </c>
      <c r="E117" s="2553" t="s">
        <v>2135</v>
      </c>
      <c r="F117" s="2553" t="s">
        <v>2134</v>
      </c>
      <c r="G117" s="2553" t="s">
        <v>2136</v>
      </c>
      <c r="H117" s="2553" t="s">
        <v>2134</v>
      </c>
      <c r="I117" s="2553" t="s">
        <v>2136</v>
      </c>
    </row>
    <row r="118" spans="1:27" ht="24.75" customHeight="1">
      <c r="A118" s="2827" t="str">
        <f>项目基本情况!S2</f>
        <v>北京市海淀区四道口11号房地产</v>
      </c>
      <c r="B118" s="2553">
        <f>M18</f>
        <v>6787.95</v>
      </c>
      <c r="C118" s="2553">
        <f>M19</f>
        <v>1000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162" t="s">
        <v>2137</v>
      </c>
      <c r="B119" s="3162"/>
      <c r="C119" s="3162"/>
      <c r="D119" s="3168" t="e">
        <f ca="1">NUMBERSTRING(INT(D118*10000),2)&amp;"元整"</f>
        <v>#REF!</v>
      </c>
      <c r="E119" s="3169"/>
      <c r="F119" s="3168" t="e">
        <f ca="1">NUMBERSTRING(INT(F118*10000),2)&amp;"元整"</f>
        <v>#REF!</v>
      </c>
      <c r="G119" s="3169"/>
      <c r="H119" s="3168" t="e">
        <f ca="1">NUMBERSTRING(INT(H118*10000),2)&amp;"元整"</f>
        <v>#REF!</v>
      </c>
      <c r="I119" s="3169"/>
    </row>
    <row r="120" spans="1:27" ht="18.75" customHeight="1">
      <c r="A120" s="3163" t="str">
        <f>IF(项目基本情况!B9="房地产市场价值","",MID(E103,3,LEN(E103)-2))</f>
        <v>估价师知悉的法定优先受偿款</v>
      </c>
      <c r="B120" s="3164"/>
      <c r="C120" s="3165"/>
      <c r="D120" s="3163">
        <f>H103</f>
        <v>0</v>
      </c>
      <c r="E120" s="3164"/>
      <c r="F120" s="3164"/>
      <c r="G120" s="3164"/>
      <c r="H120" s="3164"/>
      <c r="I120" s="316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5" t="s">
        <v>2137</v>
      </c>
      <c r="B121" s="3206"/>
      <c r="C121" s="3207"/>
      <c r="D121" s="3168" t="str">
        <f>IF(D120=0,"零元整",NUMBERSTRING(INT(D120*10000),2)&amp;"元整")</f>
        <v>零元整</v>
      </c>
      <c r="E121" s="3170"/>
      <c r="F121" s="3170"/>
      <c r="G121" s="3170"/>
      <c r="H121" s="3170"/>
      <c r="I121" s="3169"/>
      <c r="AA121" s="734"/>
    </row>
    <row r="122" spans="1:27" ht="18.75" customHeight="1">
      <c r="A122" s="3174" t="str">
        <f>IF(项目基本情况!B9="房地产市场价值","",MID(E107,3,LEN(E107)-2))</f>
        <v>房地产抵押价值</v>
      </c>
      <c r="B122" s="3174"/>
      <c r="C122" s="3174"/>
      <c r="D122" s="3163" t="e">
        <f ca="1">H107</f>
        <v>#REF!</v>
      </c>
      <c r="E122" s="3164"/>
      <c r="F122" s="3164"/>
      <c r="G122" s="3164"/>
      <c r="H122" s="3164"/>
      <c r="I122" s="3165"/>
      <c r="AA122" s="734"/>
    </row>
    <row r="123" spans="1:27" ht="18.75" customHeight="1">
      <c r="A123" s="3162" t="s">
        <v>2137</v>
      </c>
      <c r="B123" s="3162"/>
      <c r="C123" s="3162"/>
      <c r="D123" s="3168" t="e">
        <f ca="1">NUMBERSTRING(INT(D122*10000),2)&amp;"元整"</f>
        <v>#REF!</v>
      </c>
      <c r="E123" s="3170"/>
      <c r="F123" s="3170"/>
      <c r="G123" s="3170"/>
      <c r="H123" s="3170"/>
      <c r="I123" s="3169"/>
      <c r="AA123" s="734"/>
    </row>
    <row r="124" spans="1:27" ht="18.75" customHeight="1">
      <c r="A124" s="3174" t="str">
        <f>IF(项目基本情况!B9="房地产市场价值","",MID(E109,3,LEN(E109)-2))</f>
        <v/>
      </c>
      <c r="B124" s="3174"/>
      <c r="C124" s="3174"/>
      <c r="D124" s="3163" t="str">
        <f>H109</f>
        <v>——</v>
      </c>
      <c r="E124" s="3164"/>
      <c r="F124" s="3164"/>
      <c r="G124" s="3164"/>
      <c r="H124" s="3164"/>
      <c r="I124" s="3165"/>
      <c r="AA124" s="734"/>
    </row>
    <row r="125" spans="1:27" ht="18.75" customHeight="1">
      <c r="A125" s="3162" t="s">
        <v>2137</v>
      </c>
      <c r="B125" s="3162"/>
      <c r="C125" s="3162"/>
      <c r="D125" s="3168" t="e">
        <f>NUMBERSTRING(INT(D124*10000),2)&amp;"元整"</f>
        <v>#VALUE!</v>
      </c>
      <c r="E125" s="3170"/>
      <c r="F125" s="3170"/>
      <c r="G125" s="3170"/>
      <c r="H125" s="3170"/>
      <c r="I125" s="3169"/>
      <c r="AA125" s="734"/>
    </row>
    <row r="126" spans="1:27" ht="18.75" customHeight="1">
      <c r="A126" s="3174" t="str">
        <f>IF(项目基本情况!B9="房地产市场价值","",MID(E111,3,LEN(E111)-2))</f>
        <v/>
      </c>
      <c r="B126" s="3174"/>
      <c r="C126" s="3174"/>
      <c r="D126" s="3163" t="str">
        <f>H111</f>
        <v>——</v>
      </c>
      <c r="E126" s="3164"/>
      <c r="F126" s="3164"/>
      <c r="G126" s="3164"/>
      <c r="H126" s="3164"/>
      <c r="I126" s="3165"/>
      <c r="AA126" s="734"/>
    </row>
    <row r="127" spans="1:27" ht="18.75" customHeight="1">
      <c r="A127" s="3162" t="s">
        <v>2137</v>
      </c>
      <c r="B127" s="3162"/>
      <c r="C127" s="3162"/>
      <c r="D127" s="3168" t="e">
        <f>NUMBERSTRING(INT(D126*10000),2)&amp;"元整"</f>
        <v>#VALUE!</v>
      </c>
      <c r="E127" s="3170"/>
      <c r="F127" s="3170"/>
      <c r="G127" s="3170"/>
      <c r="H127" s="3170"/>
      <c r="I127" s="3169"/>
      <c r="AA127" s="734"/>
    </row>
    <row r="128" spans="1:27" ht="21.75" customHeight="1">
      <c r="A128" s="3171" t="s">
        <v>2138</v>
      </c>
      <c r="B128" s="3171"/>
      <c r="C128" s="3171"/>
      <c r="D128" s="3171"/>
      <c r="E128" s="3171"/>
      <c r="F128" s="3171"/>
      <c r="G128" s="3171"/>
      <c r="H128" s="3171"/>
      <c r="I128" s="3171"/>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3" sqref="C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t="s">
        <v>1343</v>
      </c>
      <c r="C1" s="204"/>
      <c r="D1" s="204"/>
      <c r="E1" s="204"/>
      <c r="F1" s="204"/>
      <c r="G1" s="1288">
        <f>MATCH(B1,'数据-取费表'!A6:A16,0)+5</f>
        <v>6</v>
      </c>
    </row>
    <row r="2" spans="1:9" s="206" customFormat="1" ht="18" customHeight="1">
      <c r="A2" s="207" t="s">
        <v>2147</v>
      </c>
      <c r="B2" s="208">
        <f ca="1">IF(D2="——",C52,C52-E2)</f>
        <v>18735</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27600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11934</v>
      </c>
      <c r="D5" s="217" t="s">
        <v>2154</v>
      </c>
      <c r="E5" s="218" t="s">
        <v>2155</v>
      </c>
      <c r="F5" s="218" t="s">
        <v>2156</v>
      </c>
      <c r="G5" s="219"/>
    </row>
    <row r="6" spans="1:9" s="220" customFormat="1" ht="13.5" customHeight="1">
      <c r="A6" s="886" t="s">
        <v>2157</v>
      </c>
      <c r="B6" s="221" t="s">
        <v>2158</v>
      </c>
      <c r="C6" s="222">
        <f ca="1">基准地价修正!B2</f>
        <v>11449</v>
      </c>
      <c r="D6" s="223"/>
      <c r="E6" s="224"/>
      <c r="F6" s="224"/>
      <c r="G6" s="225"/>
    </row>
    <row r="7" spans="1:9" s="220" customFormat="1" ht="13.5" customHeight="1">
      <c r="A7" s="886" t="s">
        <v>2159</v>
      </c>
      <c r="B7" s="221" t="s">
        <v>2160</v>
      </c>
      <c r="C7" s="226">
        <f ca="1">ROUND(C6*F7,0)</f>
        <v>349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136</v>
      </c>
      <c r="D8" s="228"/>
      <c r="E8" s="226"/>
      <c r="F8" s="227"/>
      <c r="G8" s="2043" t="s">
        <v>3087</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4" t="s">
        <v>3088</v>
      </c>
      <c r="H9" s="1299"/>
      <c r="I9" s="2045" t="s">
        <v>2164</v>
      </c>
    </row>
    <row r="10" spans="1:9" s="220" customFormat="1" ht="13.5" customHeight="1">
      <c r="A10" s="887" t="s">
        <v>801</v>
      </c>
      <c r="B10" s="230" t="s">
        <v>2165</v>
      </c>
      <c r="C10" s="231">
        <f ca="1">ROUND(D10*E10/10000,0)</f>
        <v>136</v>
      </c>
      <c r="D10" s="954">
        <f ca="1">IF(B1="",'数据-汇总表'!E6,IF(INDIRECT("'数据-取费表'!c"&amp;$G$1)="住宅",INDIRECT("'数据-取费表'!s"&amp;$G$1),INDIRECT("'数据-取费表'!k"&amp;$G$1)+INDIRECT("'数据-取费表'!s"&amp;$G$1)))</f>
        <v>6787.95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6787.95</v>
      </c>
      <c r="E19" s="217">
        <f>'数据-取费表'!B31</f>
        <v>200</v>
      </c>
      <c r="F19" s="237"/>
      <c r="G19" s="2043" t="s">
        <v>3089</v>
      </c>
    </row>
    <row r="20" spans="1:7" s="220" customFormat="1" ht="13.5" customHeight="1">
      <c r="A20" s="261" t="s">
        <v>2178</v>
      </c>
      <c r="B20" s="216" t="s">
        <v>2179</v>
      </c>
      <c r="C20" s="238">
        <f ca="1">ROUND((C5+C19)*F20,0)</f>
        <v>239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464</v>
      </c>
      <c r="D22" s="241">
        <f ca="1">C26</f>
        <v>4.0000000000000002E-4</v>
      </c>
      <c r="E22" s="242" t="s">
        <v>2183</v>
      </c>
      <c r="F22" s="243">
        <f ca="1">'数据-取费表'!B40</f>
        <v>3.85E-2</v>
      </c>
      <c r="G22" s="240" t="str">
        <f>IF('数据-取费表'!B22&lt;=1,"单利计息","复利计息")</f>
        <v>单利计息</v>
      </c>
    </row>
    <row r="23" spans="1:7" s="220" customFormat="1" ht="13.5" customHeight="1">
      <c r="A23" s="888" t="s">
        <v>2187</v>
      </c>
      <c r="B23" s="221" t="s">
        <v>2188</v>
      </c>
      <c r="C23" s="1265">
        <f ca="1">ROUND(IF('数据-取费表'!B22&lt;=1,C5*F22*'数据-取费表'!B23,C5*(POWER((1+F22),'数据-取费表'!B23)-1)),0)</f>
        <v>459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5</v>
      </c>
      <c r="D25" s="244"/>
      <c r="E25" s="247"/>
      <c r="F25" s="245"/>
      <c r="G25" s="248" t="s">
        <v>2195</v>
      </c>
    </row>
    <row r="26" spans="1:7" s="220" customFormat="1">
      <c r="A26" s="888" t="s">
        <v>795</v>
      </c>
      <c r="B26" s="221" t="s">
        <v>2196</v>
      </c>
      <c r="C26" s="244">
        <f ca="1">ROUND(IF('数据-取费表'!B22&lt;=1,F21*F22*'数据-取费表'!B23/2,F21*(POWER((1+F22),'数据-取费表'!B23/2)-1)),4)</f>
        <v>4.0000000000000002E-4</v>
      </c>
      <c r="D26" s="244"/>
      <c r="E26" s="247"/>
      <c r="F26" s="245"/>
      <c r="G26" s="249"/>
    </row>
    <row r="27" spans="1:7" s="220" customFormat="1" ht="24.75">
      <c r="A27" s="261" t="s">
        <v>2197</v>
      </c>
      <c r="B27" s="250" t="s">
        <v>2198</v>
      </c>
      <c r="C27" s="251">
        <f ca="1">C28</f>
        <v>1826</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1826</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15664</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2973</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2715</v>
      </c>
      <c r="D34" s="223"/>
      <c r="E34" s="226"/>
      <c r="F34" s="263">
        <f ca="1">IF('数据-取费表'!B24=0,1,IF(B1="",'数据-取费表'!N16,INDIRECT("'数据-取费表'!n"&amp;$G$1)))</f>
        <v>1</v>
      </c>
      <c r="G34" s="225" t="s">
        <v>2211</v>
      </c>
    </row>
    <row r="35" spans="1:7" ht="13.5" customHeight="1">
      <c r="A35" s="888" t="s">
        <v>796</v>
      </c>
      <c r="B35" s="221" t="s">
        <v>2212</v>
      </c>
      <c r="C35" s="226">
        <f ca="1">ROUND(C34*F35,0)</f>
        <v>81</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136</v>
      </c>
      <c r="D37" s="223">
        <f ca="1">D19</f>
        <v>6787.95</v>
      </c>
      <c r="E37" s="255">
        <f>'数据-取费表'!B35</f>
        <v>200</v>
      </c>
      <c r="F37" s="265"/>
      <c r="G37" s="267" t="s">
        <v>2217</v>
      </c>
    </row>
    <row r="38" spans="1:7" ht="13.5" customHeight="1">
      <c r="A38" s="888" t="s">
        <v>799</v>
      </c>
      <c r="B38" s="221" t="s">
        <v>2218</v>
      </c>
      <c r="C38" s="226">
        <f ca="1">ROUND(C34*F38,0)</f>
        <v>41</v>
      </c>
      <c r="D38" s="226"/>
      <c r="E38" s="226"/>
      <c r="F38" s="265">
        <f>'数据-取费表'!B36</f>
        <v>1.4999999999999999E-2</v>
      </c>
      <c r="G38" s="225" t="s">
        <v>2213</v>
      </c>
    </row>
    <row r="39" spans="1:7" s="220" customFormat="1" ht="13.5" customHeight="1">
      <c r="A39" s="261" t="s">
        <v>2219</v>
      </c>
      <c r="B39" s="216" t="s">
        <v>2220</v>
      </c>
      <c r="C39" s="238">
        <f ca="1">ROUND(C33*F20,0)</f>
        <v>59</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58</v>
      </c>
      <c r="D41" s="241">
        <f ca="1">C44</f>
        <v>4.0000000000000002E-4</v>
      </c>
      <c r="E41" s="242" t="s">
        <v>2224</v>
      </c>
      <c r="F41" s="2537">
        <f ca="1">F22</f>
        <v>3.85E-2</v>
      </c>
      <c r="G41" s="240" t="str">
        <f>IF('数据-取费表'!B22&lt;=1,"单利计息","复利计息")</f>
        <v>单利计息</v>
      </c>
    </row>
    <row r="42" spans="1:7" ht="13.5" customHeight="1">
      <c r="A42" s="888" t="s">
        <v>791</v>
      </c>
      <c r="B42" s="221" t="s">
        <v>2228</v>
      </c>
      <c r="C42" s="244">
        <f ca="1">ROUND(IF('数据-取费表'!B22&lt;=1,C33*F22*'数据-取费表'!B21/2,C33*(POWER((1+F22),'数据-取费表'!B21/2)-1)),0)</f>
        <v>57</v>
      </c>
      <c r="D42" s="244"/>
      <c r="E42" s="244"/>
      <c r="F42" s="245"/>
      <c r="G42" s="3244" t="s">
        <v>2229</v>
      </c>
    </row>
    <row r="43" spans="1:7" ht="13.5" customHeight="1">
      <c r="A43" s="888" t="s">
        <v>792</v>
      </c>
      <c r="B43" s="221" t="s">
        <v>2230</v>
      </c>
      <c r="C43" s="244">
        <f ca="1">ROUND(IF('数据-取费表'!B22&lt;=1,C39*F22*'数据-取费表'!B21/2,C39*(POWER((1+F22),'数据-取费表'!B21/2)-1)),0)</f>
        <v>1</v>
      </c>
      <c r="D43" s="244"/>
      <c r="E43" s="244"/>
      <c r="F43" s="245"/>
      <c r="G43" s="3245"/>
    </row>
    <row r="44" spans="1:7" ht="13.5" customHeight="1">
      <c r="A44" s="888" t="s">
        <v>793</v>
      </c>
      <c r="B44" s="221" t="s">
        <v>2231</v>
      </c>
      <c r="C44" s="244">
        <f ca="1">ROUND(IF('数据-取费表'!B22&lt;=1,C40*F22*'数据-取费表'!B21/2,C40*(POWER((1+F22),'数据-取费表'!B21/2)-1)),4)</f>
        <v>4.0000000000000002E-4</v>
      </c>
      <c r="D44" s="244"/>
      <c r="E44" s="244"/>
      <c r="F44" s="245"/>
      <c r="G44" s="3246"/>
    </row>
    <row r="45" spans="1:7" s="220" customFormat="1" ht="13.5" customHeight="1">
      <c r="A45" s="261" t="s">
        <v>2232</v>
      </c>
      <c r="B45" s="250" t="s">
        <v>2198</v>
      </c>
      <c r="C45" s="251">
        <f ca="1">C46</f>
        <v>455</v>
      </c>
      <c r="D45" s="241">
        <f ca="1">C47</f>
        <v>3.0000000000000001E-3</v>
      </c>
      <c r="E45" s="242" t="s">
        <v>2224</v>
      </c>
      <c r="F45" s="2538">
        <f ca="1">F27</f>
        <v>0.15</v>
      </c>
      <c r="G45" s="253" t="s">
        <v>2233</v>
      </c>
    </row>
    <row r="46" spans="1:7" s="220" customFormat="1" ht="13.5" customHeight="1">
      <c r="A46" s="888" t="s">
        <v>791</v>
      </c>
      <c r="B46" s="254" t="s">
        <v>2234</v>
      </c>
      <c r="C46" s="255">
        <f ca="1">ROUND((C33+C39)*F27,0)</f>
        <v>455</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7">
        <f>F30</f>
        <v>5.6000000000000001E-2</v>
      </c>
      <c r="G48" s="240" t="s">
        <v>2237</v>
      </c>
    </row>
    <row r="49" spans="1:7" ht="16.5" customHeight="1">
      <c r="A49" s="261" t="s">
        <v>2203</v>
      </c>
      <c r="B49" s="216" t="s">
        <v>2238</v>
      </c>
      <c r="C49" s="238">
        <f ca="1">ROUND((C33+C39+C41+C45)/(1-C40-D41-D45-C48),0)</f>
        <v>3839</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3071</v>
      </c>
      <c r="D51" s="238"/>
      <c r="E51" s="238"/>
      <c r="F51" s="270"/>
      <c r="G51" s="240" t="s">
        <v>2245</v>
      </c>
    </row>
    <row r="52" spans="1:7" s="214" customFormat="1" ht="16.5" thickBot="1">
      <c r="A52" s="271" t="s">
        <v>2246</v>
      </c>
      <c r="B52" s="272"/>
      <c r="C52" s="273">
        <f ca="1">C31+C51</f>
        <v>18735</v>
      </c>
      <c r="D52" s="272"/>
      <c r="E52" s="272"/>
      <c r="F52" s="272"/>
      <c r="G52" s="274"/>
    </row>
    <row r="55" spans="1:7" ht="15">
      <c r="B55" s="276" t="s">
        <v>2247</v>
      </c>
      <c r="C55" s="277"/>
    </row>
    <row r="56" spans="1:7">
      <c r="B56" s="279" t="s">
        <v>1478</v>
      </c>
      <c r="C56" s="281">
        <f ca="1">1-C57</f>
        <v>0.83599999999999997</v>
      </c>
    </row>
    <row r="57" spans="1:7">
      <c r="B57" s="279" t="s">
        <v>1479</v>
      </c>
      <c r="C57" s="280">
        <f ca="1">ROUND(C51/C52,3)</f>
        <v>0.16400000000000001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5" t="str">
        <f>项目基本情况!B1</f>
        <v>北京市海淀区四道口11号房地产抵押价值预评估</v>
      </c>
      <c r="C37" s="3055"/>
      <c r="D37" s="3055"/>
      <c r="E37" s="3055"/>
      <c r="F37" s="3055"/>
      <c r="G37" s="3055"/>
      <c r="H37" s="3055"/>
      <c r="I37" s="305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3429</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5052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1357590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1357590</v>
      </c>
      <c r="D8" s="228"/>
      <c r="E8" s="226"/>
      <c r="F8" s="227"/>
      <c r="G8" s="2043"/>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1357590</v>
      </c>
      <c r="D10" s="954">
        <f ca="1">IF(B1="",'数据-汇总表'!E6,IF(INDIRECT("'数据-取费表'!c"&amp;$G$1)="住宅",INDIRECT("'数据-取费表'!s"&amp;$G$1),INDIRECT("'数据-取费表'!k"&amp;$G$1)+INDIRECT("'数据-取费表'!s"&amp;$G$1)))</f>
        <v>6787.95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1357590</v>
      </c>
      <c r="D19" s="958">
        <f ca="1">D9+D10</f>
        <v>6787.95</v>
      </c>
      <c r="E19" s="217">
        <f>'数据-取费表'!B31</f>
        <v>200</v>
      </c>
      <c r="F19" s="237"/>
      <c r="G19" s="2043"/>
    </row>
    <row r="20" spans="1:7" s="220" customFormat="1" ht="13.5" customHeight="1">
      <c r="A20" s="261" t="s">
        <v>2259</v>
      </c>
      <c r="B20" s="216" t="s">
        <v>2260</v>
      </c>
      <c r="C20" s="238">
        <f ca="1">ROUND((C5+C19)*F20,0)</f>
        <v>54304</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105579</v>
      </c>
      <c r="D22" s="241">
        <f ca="1">C26</f>
        <v>4.0000000000000002E-4</v>
      </c>
      <c r="E22" s="242" t="s">
        <v>2264</v>
      </c>
      <c r="F22" s="243">
        <f ca="1">'数据-取费表'!B40</f>
        <v>3.85E-2</v>
      </c>
      <c r="G22" s="240" t="str">
        <f>IF('数据-取费表'!B22&lt;=1,"单利计息","复利计息")</f>
        <v>单利计息</v>
      </c>
    </row>
    <row r="23" spans="1:7" s="220" customFormat="1" ht="13.5" customHeight="1">
      <c r="A23" s="888" t="s">
        <v>2157</v>
      </c>
      <c r="B23" s="221" t="s">
        <v>2268</v>
      </c>
      <c r="C23" s="1290">
        <f ca="1">ROUND(IF('数据-取费表'!B22&lt;=1,C5*F22*'数据-取费表'!B22,C5*(POWER((1+F22),'数据-取费表'!B22)-1)),0)</f>
        <v>52267</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52267</v>
      </c>
      <c r="D24" s="244"/>
      <c r="E24" s="244"/>
      <c r="F24" s="245"/>
      <c r="G24" s="246" t="s">
        <v>2271</v>
      </c>
    </row>
    <row r="25" spans="1:7" s="220" customFormat="1" ht="24">
      <c r="A25" s="888" t="s">
        <v>2161</v>
      </c>
      <c r="B25" s="221" t="s">
        <v>2272</v>
      </c>
      <c r="C25" s="1290">
        <f ca="1">ROUND(IF('数据-取费表'!B22&lt;=1,C20*F22*'数据-取费表'!B22/2,C20*(POWER((1+F22),'数据-取费表'!B22/2)-1)),0)</f>
        <v>1045</v>
      </c>
      <c r="D25" s="244"/>
      <c r="E25" s="247"/>
      <c r="F25" s="245"/>
      <c r="G25" s="248" t="s">
        <v>2273</v>
      </c>
    </row>
    <row r="26" spans="1:7" s="220" customFormat="1">
      <c r="A26" s="888" t="s">
        <v>795</v>
      </c>
      <c r="B26" s="221" t="s">
        <v>2196</v>
      </c>
      <c r="C26" s="244">
        <f ca="1">ROUND(IF('数据-取费表'!B22&lt;=1,F21*F22*'数据-取费表'!B22/2,F21*(POWER((1+F22),'数据-取费表'!B22/2)-1)),4)</f>
        <v>4.0000000000000002E-4</v>
      </c>
      <c r="D26" s="244"/>
      <c r="E26" s="247"/>
      <c r="F26" s="245"/>
      <c r="G26" s="249"/>
    </row>
    <row r="27" spans="1:7" s="220" customFormat="1" ht="24.75">
      <c r="A27" s="261" t="s">
        <v>2197</v>
      </c>
      <c r="B27" s="250" t="s">
        <v>2198</v>
      </c>
      <c r="C27" s="251">
        <f ca="1">C28</f>
        <v>415423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415423</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3563832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29731221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27151800</v>
      </c>
      <c r="D34" s="223"/>
      <c r="E34" s="226"/>
      <c r="F34" s="263"/>
      <c r="G34" s="225"/>
    </row>
    <row r="35" spans="1:7" ht="13.5" customHeight="1">
      <c r="A35" s="888" t="s">
        <v>796</v>
      </c>
      <c r="B35" s="221" t="s">
        <v>2212</v>
      </c>
      <c r="C35" s="226">
        <f ca="1">ROUND(C34*F35,0)</f>
        <v>814554</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1357590</v>
      </c>
      <c r="D37" s="223">
        <f ca="1">D19</f>
        <v>6787.95</v>
      </c>
      <c r="E37" s="255">
        <f>'数据-取费表'!B35</f>
        <v>200</v>
      </c>
      <c r="F37" s="265"/>
      <c r="G37" s="267"/>
    </row>
    <row r="38" spans="1:7" ht="13.5" customHeight="1">
      <c r="A38" s="888" t="s">
        <v>799</v>
      </c>
      <c r="B38" s="221" t="s">
        <v>2218</v>
      </c>
      <c r="C38" s="226">
        <f ca="1">ROUND(C34*F38,0)</f>
        <v>407277</v>
      </c>
      <c r="D38" s="226"/>
      <c r="E38" s="226"/>
      <c r="F38" s="265">
        <f>'数据-取费表'!B36</f>
        <v>1.4999999999999999E-2</v>
      </c>
      <c r="G38" s="225" t="s">
        <v>2213</v>
      </c>
    </row>
    <row r="39" spans="1:7" s="220" customFormat="1" ht="13.5" customHeight="1">
      <c r="A39" s="261" t="s">
        <v>2219</v>
      </c>
      <c r="B39" s="216" t="s">
        <v>2220</v>
      </c>
      <c r="C39" s="238">
        <f ca="1">ROUND(C33*F20,0)</f>
        <v>594624</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583773</v>
      </c>
      <c r="D41" s="241">
        <f ca="1">C44</f>
        <v>4.0000000000000002E-4</v>
      </c>
      <c r="E41" s="242" t="s">
        <v>2224</v>
      </c>
      <c r="F41" s="2537">
        <f ca="1">F22</f>
        <v>3.85E-2</v>
      </c>
      <c r="G41" s="240" t="str">
        <f>IF('数据-取费表'!B22&lt;=1,"单利计息","复利计息")</f>
        <v>单利计息</v>
      </c>
    </row>
    <row r="42" spans="1:7" ht="13.5" customHeight="1">
      <c r="A42" s="888" t="s">
        <v>791</v>
      </c>
      <c r="B42" s="221" t="s">
        <v>2228</v>
      </c>
      <c r="C42" s="244">
        <f ca="1">ROUND(IF('数据-取费表'!B22&lt;=1,C33*F22*'数据-取费表'!B20/2,C33*(POWER((1+F22),'数据-取费表'!B20/2)-1)),0)</f>
        <v>572326</v>
      </c>
      <c r="D42" s="244"/>
      <c r="E42" s="244"/>
      <c r="F42" s="245"/>
      <c r="G42" s="3244" t="s">
        <v>2276</v>
      </c>
    </row>
    <row r="43" spans="1:7" ht="13.5" customHeight="1">
      <c r="A43" s="888" t="s">
        <v>792</v>
      </c>
      <c r="B43" s="221" t="s">
        <v>2230</v>
      </c>
      <c r="C43" s="244">
        <f ca="1">ROUND(IF('数据-取费表'!B22&lt;=1,C39*F22*'数据-取费表'!B20/2,C39*(POWER((1+F22),'数据-取费表'!B20/2)-1)),0)</f>
        <v>11447</v>
      </c>
      <c r="D43" s="244"/>
      <c r="E43" s="244"/>
      <c r="F43" s="245"/>
      <c r="G43" s="3245"/>
    </row>
    <row r="44" spans="1:7" ht="13.5" customHeight="1">
      <c r="A44" s="888" t="s">
        <v>793</v>
      </c>
      <c r="B44" s="221" t="s">
        <v>2231</v>
      </c>
      <c r="C44" s="244">
        <f ca="1">ROUND(IF('数据-取费表'!B22&lt;=1,C40*F22*'数据-取费表'!B20/2,C40*(POWER((1+F22),'数据-取费表'!B20/2)-1)),4)</f>
        <v>4.0000000000000002E-4</v>
      </c>
      <c r="D44" s="244"/>
      <c r="E44" s="244"/>
      <c r="F44" s="245"/>
      <c r="G44" s="3246"/>
    </row>
    <row r="45" spans="1:7" s="220" customFormat="1" ht="13.5" customHeight="1">
      <c r="A45" s="261" t="s">
        <v>2232</v>
      </c>
      <c r="B45" s="250" t="s">
        <v>2198</v>
      </c>
      <c r="C45" s="251">
        <f ca="1">C46</f>
        <v>4548877</v>
      </c>
      <c r="D45" s="241">
        <f ca="1">C47</f>
        <v>3.0000000000000001E-3</v>
      </c>
      <c r="E45" s="242" t="s">
        <v>2224</v>
      </c>
      <c r="F45" s="2538">
        <f ca="1">F27</f>
        <v>0.15</v>
      </c>
      <c r="G45" s="253" t="s">
        <v>2233</v>
      </c>
    </row>
    <row r="46" spans="1:7" s="220" customFormat="1" ht="13.5" customHeight="1">
      <c r="A46" s="888" t="s">
        <v>791</v>
      </c>
      <c r="B46" s="254" t="s">
        <v>2234</v>
      </c>
      <c r="C46" s="255">
        <f ca="1">ROUND((C33+C39)*F27,0)</f>
        <v>4548877</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7">
        <f>F30</f>
        <v>5.6000000000000001E-2</v>
      </c>
      <c r="G48" s="240" t="s">
        <v>2237</v>
      </c>
    </row>
    <row r="49" spans="1:7" ht="16.5" customHeight="1">
      <c r="A49" s="261" t="s">
        <v>2203</v>
      </c>
      <c r="B49" s="216" t="s">
        <v>2277</v>
      </c>
      <c r="C49" s="238">
        <f ca="1">ROUND((C33+C39+C41+C45)/(1-C40-D41-D45-C48),0)</f>
        <v>38404089</v>
      </c>
      <c r="D49" s="238"/>
      <c r="E49" s="238"/>
      <c r="F49" s="270"/>
      <c r="G49" s="240" t="s">
        <v>2239</v>
      </c>
    </row>
    <row r="50" spans="1:7" s="264" customFormat="1">
      <c r="A50" s="261" t="s">
        <v>2240</v>
      </c>
      <c r="B50" s="216" t="s">
        <v>2241</v>
      </c>
      <c r="C50" s="238"/>
      <c r="D50" s="238"/>
      <c r="E50" s="238"/>
      <c r="F50" s="270">
        <f>IF('数据-取费表'!B24=0,'数据-取费表'!N16,1)</f>
        <v>0.8</v>
      </c>
      <c r="G50" s="253"/>
    </row>
    <row r="51" spans="1:7" ht="16.5" customHeight="1">
      <c r="A51" s="261" t="s">
        <v>2243</v>
      </c>
      <c r="B51" s="216" t="s">
        <v>2278</v>
      </c>
      <c r="C51" s="238">
        <f ca="1">ROUND(C49*F50,0)</f>
        <v>30723271</v>
      </c>
      <c r="D51" s="238"/>
      <c r="E51" s="238"/>
      <c r="F51" s="270"/>
      <c r="G51" s="240" t="s">
        <v>2245</v>
      </c>
    </row>
    <row r="52" spans="1:7" s="214" customFormat="1" ht="16.5" thickBot="1">
      <c r="A52" s="271" t="s">
        <v>2246</v>
      </c>
      <c r="B52" s="272"/>
      <c r="C52" s="273">
        <f ca="1">C31+C51</f>
        <v>34287103</v>
      </c>
      <c r="D52" s="272"/>
      <c r="E52" s="272"/>
      <c r="F52" s="272"/>
      <c r="G52" s="274"/>
    </row>
    <row r="55" spans="1:7" ht="15">
      <c r="B55" s="276" t="s">
        <v>2247</v>
      </c>
      <c r="C55" s="277"/>
    </row>
    <row r="56" spans="1:7">
      <c r="B56" s="279" t="s">
        <v>1478</v>
      </c>
      <c r="C56" s="281">
        <f ca="1">1-C57</f>
        <v>0.10399999999999998</v>
      </c>
    </row>
    <row r="57" spans="1:7">
      <c r="B57" s="279" t="s">
        <v>1479</v>
      </c>
      <c r="C57" s="280">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8"/>
      <c r="F1" s="3038"/>
      <c r="G1" s="2901"/>
      <c r="H1" s="3038"/>
      <c r="I1" s="3038"/>
      <c r="J1" s="3038"/>
      <c r="K1" s="3039">
        <f>MATCH(C1,'数据-取费表'!A6:A16,0)+5</f>
        <v>7</v>
      </c>
    </row>
    <row r="2" spans="1:33" ht="18" customHeight="1">
      <c r="A2" s="207" t="s">
        <v>2147</v>
      </c>
      <c r="B2" s="210">
        <f ca="1">C32</f>
        <v>0</v>
      </c>
      <c r="C2" s="282" t="s">
        <v>2280</v>
      </c>
      <c r="D2" s="282"/>
      <c r="E2" s="3038"/>
      <c r="F2" s="3038"/>
      <c r="G2" s="3038"/>
      <c r="H2" s="3038"/>
      <c r="I2" s="3038"/>
      <c r="J2" s="3038"/>
      <c r="K2" s="3038"/>
    </row>
    <row r="3" spans="1:33" ht="18" customHeight="1" thickBot="1">
      <c r="A3" s="209" t="s">
        <v>2149</v>
      </c>
      <c r="B3" s="210">
        <f ca="1">ROUND(B2*10000/IF(C1="",'数据-汇总表'!E3,INDIRECT("'数据-取费表'!K"&amp;$K$1)),0)</f>
        <v>0</v>
      </c>
      <c r="C3" s="282" t="s">
        <v>2281</v>
      </c>
      <c r="D3" s="282"/>
      <c r="E3" s="3038"/>
      <c r="F3" s="3038"/>
      <c r="G3" s="3038"/>
      <c r="H3" s="3038"/>
      <c r="I3" s="3038"/>
      <c r="J3" s="3038"/>
      <c r="K3" s="3038"/>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6787.95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6787.95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136</v>
      </c>
      <c r="D20" s="955">
        <f ca="1">IF(C1="",'数据-汇总表'!E6,IF(INDIRECT("'数据-取费表'!c"&amp;$K$1)="住宅",INDIRECT("'数据-取费表'!s"&amp;$K$1),INDIRECT("'数据-取费表'!k"&amp;$K$1)+INDIRECT("'数据-取费表'!s"&amp;$K$1)))</f>
        <v>6787.95</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4" sqref="D5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70</v>
      </c>
      <c r="E1" s="1548" t="s">
        <v>1352</v>
      </c>
      <c r="F1" s="1193">
        <f ca="1">J53</f>
        <v>17.66</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10804</v>
      </c>
      <c r="C2" s="1572" t="s">
        <v>1481</v>
      </c>
      <c r="D2" s="1572"/>
      <c r="E2" s="1573"/>
      <c r="F2" s="1574"/>
      <c r="G2" s="2936"/>
      <c r="H2" s="2925"/>
      <c r="I2" s="2925"/>
      <c r="J2" s="2925"/>
      <c r="K2" s="2926"/>
      <c r="L2" s="2925"/>
      <c r="M2" s="2925"/>
    </row>
    <row r="3" spans="1:37" ht="18" customHeight="1" thickBot="1">
      <c r="A3" s="1575" t="s">
        <v>1482</v>
      </c>
      <c r="B3" s="1576">
        <f ca="1">IF(ISERROR(B2*10000/F43),0,ROUND(B2*10000/F43,0))</f>
        <v>15916</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1116</v>
      </c>
      <c r="D5" s="1549" t="s">
        <v>1367</v>
      </c>
      <c r="E5" s="1203"/>
      <c r="F5" s="1204"/>
      <c r="G5" s="1569"/>
      <c r="H5" s="305">
        <v>1</v>
      </c>
      <c r="I5" s="306" t="s">
        <v>1366</v>
      </c>
      <c r="J5" s="1202">
        <f ca="1">J6+J10+J12</f>
        <v>0</v>
      </c>
      <c r="K5" s="1549" t="s">
        <v>1367</v>
      </c>
      <c r="L5" s="1203"/>
      <c r="M5" s="1204"/>
    </row>
    <row r="6" spans="1:37" ht="18" customHeight="1">
      <c r="A6" s="1201" t="s">
        <v>1003</v>
      </c>
      <c r="B6" s="3249" t="s">
        <v>1368</v>
      </c>
      <c r="C6" s="1206">
        <f ca="1">ROUND(F6*F8*F7*(1-F9)/10000,0)</f>
        <v>1115</v>
      </c>
      <c r="D6" s="160" t="s">
        <v>2848</v>
      </c>
      <c r="E6" s="308" t="s">
        <v>1370</v>
      </c>
      <c r="F6" s="309">
        <f ca="1">INDIRECT("'数据-取费表'!u"&amp;$G$1)</f>
        <v>5</v>
      </c>
      <c r="G6" s="1569"/>
      <c r="H6" s="1201" t="s">
        <v>1003</v>
      </c>
      <c r="I6" s="3249" t="s">
        <v>1368</v>
      </c>
      <c r="J6" s="307">
        <f ca="1">ROUND(M6*M8*M7*(1-M9)/10000,0)</f>
        <v>0</v>
      </c>
      <c r="K6" s="160" t="s">
        <v>2847</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6787.95</v>
      </c>
      <c r="G7" s="1569"/>
      <c r="H7" s="310"/>
      <c r="I7" s="3250"/>
      <c r="J7" s="312"/>
      <c r="K7" s="313"/>
      <c r="L7" s="308" t="s">
        <v>1371</v>
      </c>
      <c r="M7" s="309">
        <f ca="1">F7</f>
        <v>6787.95</v>
      </c>
    </row>
    <row r="8" spans="1:37" ht="18" customHeight="1">
      <c r="A8" s="310"/>
      <c r="B8" s="3250"/>
      <c r="C8" s="312"/>
      <c r="D8" s="313"/>
      <c r="E8" s="308" t="s">
        <v>1372</v>
      </c>
      <c r="F8" s="309">
        <f ca="1">INDIRECT("'数据-取费表'!ai"&amp;$G$1)</f>
        <v>365</v>
      </c>
      <c r="G8" s="1569"/>
      <c r="H8" s="310"/>
      <c r="I8" s="3250"/>
      <c r="J8" s="312"/>
      <c r="K8" s="313"/>
      <c r="L8" s="308" t="s">
        <v>1372</v>
      </c>
      <c r="M8" s="309">
        <f ca="1">INDIRECT("'数据-取费表'!ai"&amp;$G$1)</f>
        <v>365</v>
      </c>
    </row>
    <row r="9" spans="1:37" ht="18" customHeight="1">
      <c r="A9" s="310"/>
      <c r="B9" s="3251"/>
      <c r="C9" s="312"/>
      <c r="D9" s="313"/>
      <c r="E9" s="308" t="s">
        <v>1373</v>
      </c>
      <c r="F9" s="318">
        <f ca="1">INDIRECT("'数据-取费表'!w"&amp;$G$1)</f>
        <v>0.1</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1</v>
      </c>
      <c r="D10" s="1551" t="s">
        <v>2856</v>
      </c>
      <c r="E10" s="319" t="s">
        <v>1375</v>
      </c>
      <c r="F10" s="1276" t="s">
        <v>3091</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3071</v>
      </c>
      <c r="D13" s="1241" t="s">
        <v>1380</v>
      </c>
      <c r="E13" s="1241" t="s">
        <v>1381</v>
      </c>
      <c r="F13" s="1242">
        <f ca="1">INDIRECT("'数据-取费表'!y"&amp;$G$1)</f>
        <v>0.8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2715</v>
      </c>
      <c r="D14" s="1530" t="s">
        <v>1383</v>
      </c>
      <c r="E14" s="1527"/>
      <c r="F14" s="325"/>
      <c r="G14" s="1569"/>
      <c r="H14" s="1113" t="s">
        <v>1003</v>
      </c>
      <c r="I14" s="308" t="s">
        <v>1384</v>
      </c>
      <c r="J14" s="24">
        <f ca="1">C29</f>
        <v>3839</v>
      </c>
      <c r="K14" s="15"/>
      <c r="L14" s="916"/>
      <c r="M14" s="917"/>
    </row>
    <row r="15" spans="1:37" s="1582" customFormat="1" ht="18" customHeight="1" thickBot="1">
      <c r="A15" s="1113" t="s">
        <v>1004</v>
      </c>
      <c r="B15" s="308" t="s">
        <v>1385</v>
      </c>
      <c r="C15" s="24">
        <f ca="1">ROUND(C14*F15,0)</f>
        <v>81</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111</v>
      </c>
      <c r="K16" s="1247" t="s">
        <v>1390</v>
      </c>
      <c r="L16" s="1248"/>
      <c r="M16" s="1204"/>
    </row>
    <row r="17" spans="1:37" s="1582" customFormat="1" ht="18" customHeight="1">
      <c r="A17" s="1113" t="s">
        <v>1355</v>
      </c>
      <c r="B17" s="308" t="s">
        <v>1391</v>
      </c>
      <c r="C17" s="24">
        <f ca="1">ROUND(F17*(F43+INDIRECT("'数据-取费表'!S"&amp;$G$1))/10000,0)</f>
        <v>136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34</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41</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2973</v>
      </c>
      <c r="D19" s="136" t="s">
        <v>1401</v>
      </c>
      <c r="E19" s="1545"/>
      <c r="F19" s="26"/>
      <c r="G19" s="1569"/>
      <c r="H19" s="1113" t="s">
        <v>1004</v>
      </c>
      <c r="I19" s="308" t="s">
        <v>1402</v>
      </c>
      <c r="J19" s="24">
        <f ca="1">IF(K19="按租金收入计税",ROUND(J6*M19/(1+'数据-取费表'!C42),2),ROUND(C29*M19*0.7,2))</f>
        <v>32.25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59</v>
      </c>
      <c r="D20" s="329" t="s">
        <v>1405</v>
      </c>
      <c r="E20" s="308" t="s">
        <v>1387</v>
      </c>
      <c r="F20" s="328">
        <f>'数据-取费表'!B37</f>
        <v>0.02</v>
      </c>
      <c r="G20" s="1581"/>
      <c r="H20" s="1113" t="s">
        <v>1354</v>
      </c>
      <c r="I20" s="160" t="s">
        <v>1406</v>
      </c>
      <c r="J20" s="25">
        <f ca="1">ROUND(M20*M21/10000,2)</f>
        <v>1.8</v>
      </c>
      <c r="K20" s="330" t="s">
        <v>1407</v>
      </c>
      <c r="L20" s="308" t="s">
        <v>1408</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1000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76.8</v>
      </c>
      <c r="K22" s="1529" t="s">
        <v>1415</v>
      </c>
      <c r="L22" s="308" t="s">
        <v>1387</v>
      </c>
      <c r="M22" s="334">
        <f ca="1">INDIRECT("'数据-取费表'!Ak"&amp;$G$1)</f>
        <v>0.02</v>
      </c>
    </row>
    <row r="23" spans="1:37" s="1582" customFormat="1" ht="18" customHeight="1">
      <c r="A23" s="1113" t="s">
        <v>1002</v>
      </c>
      <c r="B23" s="308" t="s">
        <v>1416</v>
      </c>
      <c r="C23" s="24">
        <f ca="1">IF('数据-取费表'!B22&lt;=1,ROUND(C19*F24*F23/2,0)+ROUND(C20*F24*F23/2,0),ROUND(C19*(POWER((1+F24),F23/2)-1),0)+ROUND(C20*(POWER((1+F24),F23/2)-1),0))</f>
        <v>58</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ROUND(J5*M24,1)</f>
        <v>0</v>
      </c>
      <c r="K24" s="1252" t="s">
        <v>1424</v>
      </c>
      <c r="L24" s="1250" t="s">
        <v>1420</v>
      </c>
      <c r="M24" s="1246">
        <f ca="1">INDIRECT("'数据-取费表'!Am"&amp;$G$1)</f>
        <v>0.03</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-111</v>
      </c>
      <c r="K25" s="1255" t="s">
        <v>1429</v>
      </c>
      <c r="L25" s="1256"/>
      <c r="M25" s="1257"/>
    </row>
    <row r="26" spans="1:37">
      <c r="A26" s="1113" t="s">
        <v>1002</v>
      </c>
      <c r="B26" s="308" t="s">
        <v>1430</v>
      </c>
      <c r="C26" s="24">
        <f ca="1">ROUND((C19+C20)*F26,0)</f>
        <v>455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3839</v>
      </c>
      <c r="D29" s="1252"/>
      <c r="E29" s="1250"/>
      <c r="F29" s="1253"/>
      <c r="G29" s="1581"/>
      <c r="H29" s="340" t="s">
        <v>1001</v>
      </c>
      <c r="I29" s="341" t="s">
        <v>1444</v>
      </c>
      <c r="J29" s="342">
        <f ca="1">ROUND(J26/(1+F40)^F41,0)</f>
        <v>0</v>
      </c>
      <c r="K29" s="343" t="s">
        <v>1445</v>
      </c>
      <c r="L29" s="344"/>
      <c r="M29" s="345">
        <f ca="1">INDIRECT("'数据-取费表'!k"&amp;$G$1)</f>
        <v>6787.95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304</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189</v>
      </c>
      <c r="D31" s="1530" t="s">
        <v>1395</v>
      </c>
      <c r="E31" s="1529" t="s">
        <v>1446</v>
      </c>
      <c r="F31" s="2534" t="str">
        <f>IF(项目基本情况!B11="企业","——",IF('数据-取费表'!B10="住宅",IF(F6*F7*F8/12/(1+'数据-取费表'!F30)&gt;100000,4%,2.5%),IF(F6*F7*F8/12/(1+'数据-取费表'!F30)&gt;100000,12%,7%)))</f>
        <v>——</v>
      </c>
      <c r="G31" s="1569"/>
      <c r="H31" s="3040" t="s">
        <v>3055</v>
      </c>
      <c r="I31" s="1583"/>
      <c r="J31" s="1584"/>
      <c r="K31" s="2702"/>
      <c r="L31" s="2928"/>
      <c r="M31" s="2929"/>
    </row>
    <row r="32" spans="1:37" ht="18" customHeight="1">
      <c r="A32" s="1113" t="s">
        <v>1002</v>
      </c>
      <c r="B32" s="308" t="s">
        <v>1398</v>
      </c>
      <c r="C32" s="24">
        <f ca="1">IF(项目基本情况!B11="自然人","——",ROUND(C6*F32/(1+'数据-取费表'!C42),2))</f>
        <v>59.47</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127.43</v>
      </c>
      <c r="D33" s="1555" t="s">
        <v>3092</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1.8</v>
      </c>
      <c r="D34" s="330" t="s">
        <v>1407</v>
      </c>
      <c r="E34" s="308" t="s">
        <v>1408</v>
      </c>
      <c r="F34" s="331">
        <f>'数据-取费表'!B52</f>
        <v>18</v>
      </c>
      <c r="G34" s="1569"/>
      <c r="H34" s="2927"/>
      <c r="I34" s="1583"/>
      <c r="J34" s="1584"/>
      <c r="K34" s="2932"/>
      <c r="L34" s="2933"/>
      <c r="M34" s="2933"/>
    </row>
    <row r="35" spans="1:18" ht="18" customHeight="1">
      <c r="A35" s="1263"/>
      <c r="B35" s="1261"/>
      <c r="C35" s="29"/>
      <c r="D35" s="333"/>
      <c r="E35" s="308" t="s">
        <v>1412</v>
      </c>
      <c r="F35" s="309">
        <f ca="1">INDIRECT("'数据-取费表'!r"&amp;$G$1)</f>
        <v>1000</v>
      </c>
      <c r="G35" s="1569"/>
      <c r="H35" s="2927"/>
      <c r="I35" s="1583"/>
      <c r="J35" s="1584"/>
      <c r="K35" s="2931"/>
      <c r="L35" s="2930"/>
      <c r="M35" s="2930"/>
    </row>
    <row r="36" spans="1:18" ht="18" customHeight="1">
      <c r="A36" s="1262" t="s">
        <v>1007</v>
      </c>
      <c r="B36" s="308" t="s">
        <v>1414</v>
      </c>
      <c r="C36" s="24">
        <f ca="1">ROUND(C29*F36,1)</f>
        <v>76.8</v>
      </c>
      <c r="D36" s="1529" t="s">
        <v>1447</v>
      </c>
      <c r="E36" s="308" t="s">
        <v>1387</v>
      </c>
      <c r="F36" s="334">
        <f ca="1">INDIRECT("'数据-取费表'!Ak"&amp;$G$1)</f>
        <v>0.02</v>
      </c>
      <c r="G36" s="1569"/>
      <c r="H36" s="2930"/>
      <c r="I36" s="1583"/>
      <c r="J36" s="1584"/>
      <c r="K36" s="2771"/>
      <c r="L36" s="2930"/>
      <c r="M36" s="2930"/>
    </row>
    <row r="37" spans="1:18" ht="18" customHeight="1">
      <c r="A37" s="1113" t="s">
        <v>1043</v>
      </c>
      <c r="B37" s="308" t="s">
        <v>1418</v>
      </c>
      <c r="C37" s="24">
        <f ca="1">ROUND(C13*F37,1)</f>
        <v>4.5999999999999996</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33.5</v>
      </c>
      <c r="D38" s="1252" t="s">
        <v>1424</v>
      </c>
      <c r="E38" s="1250" t="s">
        <v>1420</v>
      </c>
      <c r="F38" s="1246">
        <f ca="1">INDIRECT("'数据-取费表'!Am"&amp;$G$1)</f>
        <v>0.03</v>
      </c>
      <c r="G38" s="1569"/>
      <c r="H38" s="2930"/>
      <c r="I38" s="1583"/>
      <c r="J38" s="1584"/>
      <c r="K38" s="2934"/>
      <c r="L38" s="2930"/>
      <c r="M38" s="2930"/>
    </row>
    <row r="39" spans="1:18" ht="24.6" customHeight="1" thickTop="1">
      <c r="A39" s="1239" t="s">
        <v>999</v>
      </c>
      <c r="B39" s="1254" t="s">
        <v>1448</v>
      </c>
      <c r="C39" s="316">
        <f ca="1">C5-C30</f>
        <v>812</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10804</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17.66</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15916</v>
      </c>
      <c r="D43" s="343" t="s">
        <v>1453</v>
      </c>
      <c r="E43" s="344" t="s">
        <v>1454</v>
      </c>
      <c r="F43" s="345">
        <f ca="1">INDIRECT("'数据-取费表'!k"&amp;$G$1)</f>
        <v>6787.95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-15307</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3093</v>
      </c>
      <c r="K47" s="1601" t="s">
        <v>1492</v>
      </c>
      <c r="L47" s="1602">
        <f ca="1">INDIRECT("'数据-取费表'!d"&amp;$G$1)</f>
        <v>40</v>
      </c>
      <c r="M47" s="1565" t="str">
        <f>IF(ISNUMBER(FIND("住宅",C1)),"住宅","非住宅")</f>
        <v>非住宅</v>
      </c>
      <c r="O47" s="1603" t="s">
        <v>1008</v>
      </c>
      <c r="P47" s="1604" t="s">
        <v>1493</v>
      </c>
      <c r="Q47" s="1605">
        <f ca="1">C40+J29</f>
        <v>10804</v>
      </c>
      <c r="R47" s="1605" t="s">
        <v>1494</v>
      </c>
    </row>
    <row r="48" spans="1:18" s="1569" customFormat="1" ht="28.5" thickBot="1">
      <c r="A48" s="1270" t="s">
        <v>1103</v>
      </c>
      <c r="B48" s="306" t="s">
        <v>1366</v>
      </c>
      <c r="C48" s="1544">
        <f ca="1">C49+C53+C55</f>
        <v>0</v>
      </c>
      <c r="D48" s="1272"/>
      <c r="E48" s="1273"/>
      <c r="F48" s="1093"/>
      <c r="G48" s="731"/>
      <c r="H48" s="732"/>
      <c r="I48" s="1606" t="s">
        <v>1495</v>
      </c>
      <c r="J48" s="1607" t="s">
        <v>3094</v>
      </c>
      <c r="K48" s="1608" t="s">
        <v>1496</v>
      </c>
      <c r="L48" s="1609">
        <f ca="1">INDIRECT("'数据-取费表'!f"&amp;$G$1)</f>
        <v>17.66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2002</v>
      </c>
      <c r="K49" s="1608" t="s">
        <v>1500</v>
      </c>
      <c r="L49" s="1612"/>
      <c r="O49" s="1613" t="s">
        <v>1010</v>
      </c>
      <c r="P49" s="1604" t="s">
        <v>1501</v>
      </c>
      <c r="Q49" s="1605">
        <f ca="1">C29</f>
        <v>3839</v>
      </c>
      <c r="R49" s="1605" t="s">
        <v>1494</v>
      </c>
    </row>
    <row r="50" spans="1:18" s="1569" customFormat="1" ht="13.5" thickBot="1">
      <c r="A50" s="1107"/>
      <c r="B50" s="1110"/>
      <c r="C50" s="1278"/>
      <c r="D50" s="1084"/>
      <c r="E50" s="1187" t="s">
        <v>1371</v>
      </c>
      <c r="F50" s="1188">
        <f ca="1">F7</f>
        <v>6787.95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41</v>
      </c>
      <c r="K51" s="1619" t="s">
        <v>1506</v>
      </c>
      <c r="L51" s="1620">
        <f ca="1">ROUND(-PV(INDIRECT("'数据-取费表'!h"&amp;$G$1),J51,(C39-C13*C76),0),0)</f>
        <v>9529</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17.66</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7">
        <f ca="1">IF(M47="住宅",IF(D1="——",MAX(J51,L48),MAX(J51,L48-'数据-取费表'!B24)),IF(D1="——",MIN(J51,L48),MIN(J51,L48-'数据-取费表'!B24)))</f>
        <v>17.66</v>
      </c>
      <c r="K53" s="3247" t="s">
        <v>1513</v>
      </c>
      <c r="L53" s="3248"/>
      <c r="O53" s="1603" t="s">
        <v>1014</v>
      </c>
      <c r="P53" s="1604" t="s">
        <v>1514</v>
      </c>
      <c r="Q53" s="1605">
        <f ca="1">Q47+Q48</f>
        <v>10804</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3071</v>
      </c>
      <c r="D56" s="1632"/>
      <c r="E56" s="1633"/>
      <c r="F56" s="1625"/>
      <c r="I56" s="1634" t="s">
        <v>1519</v>
      </c>
      <c r="J56" s="1635" t="s">
        <v>3068</v>
      </c>
      <c r="K56" s="1606" t="s">
        <v>1520</v>
      </c>
      <c r="L56" s="1609" t="str">
        <f ca="1">IF(L48&lt;J51,"——",L48-J53)</f>
        <v>——</v>
      </c>
      <c r="O56" s="1603" t="s">
        <v>1008</v>
      </c>
      <c r="P56" s="1604" t="s">
        <v>1493</v>
      </c>
      <c r="Q56" s="1605">
        <f ca="1">C40+J29</f>
        <v>10804</v>
      </c>
      <c r="R56" s="1605" t="s">
        <v>1494</v>
      </c>
    </row>
    <row r="57" spans="1:18" s="1569" customFormat="1" ht="24.75" thickBot="1">
      <c r="A57" s="1636"/>
      <c r="B57" s="1081" t="s">
        <v>1443</v>
      </c>
      <c r="C57" s="244">
        <f ca="1">C29</f>
        <v>3839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405</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324</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322.48</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1.8</v>
      </c>
      <c r="D62" s="1096" t="s">
        <v>1462</v>
      </c>
      <c r="E62" s="1081" t="s">
        <v>1463</v>
      </c>
      <c r="F62" s="331">
        <f t="shared" si="0"/>
        <v>18</v>
      </c>
      <c r="I62" s="1647" t="s">
        <v>1535</v>
      </c>
      <c r="J62" s="1648" t="s">
        <v>1536</v>
      </c>
      <c r="K62" s="1648" t="s">
        <v>1537</v>
      </c>
      <c r="L62" s="1648" t="s">
        <v>1538</v>
      </c>
      <c r="M62" s="1649" t="s">
        <v>1539</v>
      </c>
      <c r="O62" s="1603" t="s">
        <v>1014</v>
      </c>
      <c r="P62" s="1604" t="s">
        <v>1540</v>
      </c>
      <c r="Q62" s="1605">
        <f ca="1">Q56+Q57</f>
        <v>10804</v>
      </c>
      <c r="R62" s="1605" t="s">
        <v>1015</v>
      </c>
    </row>
    <row r="63" spans="1:18" s="1569" customFormat="1" ht="13.5" thickBot="1">
      <c r="A63" s="332"/>
      <c r="B63" s="1087"/>
      <c r="C63" s="29"/>
      <c r="D63" s="1097"/>
      <c r="E63" s="1081" t="s">
        <v>1464</v>
      </c>
      <c r="F63" s="309">
        <f t="shared" ca="1" si="0"/>
        <v>1000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76.8</v>
      </c>
      <c r="D64" s="1095" t="s">
        <v>1467</v>
      </c>
      <c r="E64" s="1081" t="s">
        <v>1459</v>
      </c>
      <c r="F64" s="334">
        <f t="shared" ca="1" si="0"/>
        <v>0.02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4.5999999999999996</v>
      </c>
      <c r="D65" s="1095" t="s">
        <v>1419</v>
      </c>
      <c r="E65" s="1081" t="s">
        <v>1420</v>
      </c>
      <c r="F65" s="336">
        <f t="shared" ca="1" si="0"/>
        <v>1.5E-3</v>
      </c>
      <c r="I65" s="1647" t="s">
        <v>1544</v>
      </c>
      <c r="J65" s="1648">
        <v>40</v>
      </c>
      <c r="K65" s="1648">
        <v>30</v>
      </c>
      <c r="L65" s="1648">
        <v>50</v>
      </c>
      <c r="M65" s="1650">
        <v>0.02</v>
      </c>
      <c r="O65" s="1603" t="s">
        <v>1008</v>
      </c>
      <c r="P65" s="1604" t="s">
        <v>1545</v>
      </c>
      <c r="Q65" s="1605">
        <f ca="1">C40+J29</f>
        <v>10804</v>
      </c>
      <c r="R65" s="1605" t="s">
        <v>1494</v>
      </c>
    </row>
    <row r="66" spans="1:18" s="1569" customFormat="1" ht="16.5" thickBot="1">
      <c r="A66" s="1113" t="s">
        <v>1469</v>
      </c>
      <c r="B66" s="1081" t="s">
        <v>1404</v>
      </c>
      <c r="C66" s="24">
        <f ca="1">ROUND(C48*F66,1)</f>
        <v>0</v>
      </c>
      <c r="D66" s="1095" t="s">
        <v>1470</v>
      </c>
      <c r="E66" s="1081" t="s">
        <v>1387</v>
      </c>
      <c r="F66" s="318">
        <f t="shared" ca="1" si="0"/>
        <v>0.03</v>
      </c>
      <c r="O66" s="1603" t="s">
        <v>1009</v>
      </c>
      <c r="P66" s="1604" t="s">
        <v>1523</v>
      </c>
      <c r="Q66" s="1605">
        <f ca="1">L60</f>
        <v>0</v>
      </c>
      <c r="R66" s="1605" t="s">
        <v>1546</v>
      </c>
    </row>
    <row r="67" spans="1:18" s="1569" customFormat="1" ht="16.5" thickBot="1">
      <c r="A67" s="1088" t="s">
        <v>999</v>
      </c>
      <c r="B67" s="1098" t="s">
        <v>1428</v>
      </c>
      <c r="C67" s="322">
        <f ca="1">C48-C58</f>
        <v>-405</v>
      </c>
      <c r="D67" s="1094" t="s">
        <v>1429</v>
      </c>
      <c r="E67" s="1099"/>
      <c r="F67" s="1100"/>
      <c r="O67" s="1613" t="s">
        <v>1010</v>
      </c>
      <c r="P67" s="1604" t="s">
        <v>1527</v>
      </c>
      <c r="Q67" s="1651">
        <f ca="1">L51</f>
        <v>9529</v>
      </c>
      <c r="R67" s="1605" t="s">
        <v>1547</v>
      </c>
    </row>
    <row r="68" spans="1:18" s="1569" customFormat="1" ht="16.5" thickBot="1">
      <c r="A68" s="1078" t="s">
        <v>1000</v>
      </c>
      <c r="B68" s="1079" t="s">
        <v>1450</v>
      </c>
      <c r="C68" s="307">
        <f ca="1">ROUND(C67*(1-((1+F70)/(1+F68))^F69)/(F68-F70),0)</f>
        <v>-4503</v>
      </c>
      <c r="D68" s="1096" t="s">
        <v>1434</v>
      </c>
      <c r="E68" s="1081" t="s">
        <v>1435</v>
      </c>
      <c r="F68" s="318">
        <f ca="1">F40</f>
        <v>5.5E-2</v>
      </c>
      <c r="O68" s="1613" t="s">
        <v>1011</v>
      </c>
      <c r="P68" s="1652" t="s">
        <v>1548</v>
      </c>
      <c r="Q68" s="1605">
        <f ca="1">ROUND(Q69-Q70*Q71,0)</f>
        <v>551</v>
      </c>
      <c r="R68" s="1605" t="s">
        <v>1019</v>
      </c>
    </row>
    <row r="69" spans="1:18" s="1569" customFormat="1" ht="13.5" thickBot="1">
      <c r="A69" s="1082"/>
      <c r="B69" s="1083"/>
      <c r="C69" s="312"/>
      <c r="D69" s="1101" t="s">
        <v>1438</v>
      </c>
      <c r="E69" s="1081" t="s">
        <v>1439</v>
      </c>
      <c r="F69" s="339">
        <f ca="1">F41</f>
        <v>17.66</v>
      </c>
      <c r="O69" s="1613" t="s">
        <v>1016</v>
      </c>
      <c r="P69" s="1652" t="s">
        <v>1549</v>
      </c>
      <c r="Q69" s="1605">
        <f ca="1">C39</f>
        <v>812</v>
      </c>
      <c r="R69" s="1605" t="s">
        <v>1494</v>
      </c>
    </row>
    <row r="70" spans="1:18" s="1569" customFormat="1" ht="13.5" thickBot="1">
      <c r="A70" s="1085"/>
      <c r="B70" s="1086"/>
      <c r="C70" s="316"/>
      <c r="D70" s="1097"/>
      <c r="E70" s="1081" t="s">
        <v>1442</v>
      </c>
      <c r="F70" s="1185"/>
      <c r="O70" s="1613" t="s">
        <v>1017</v>
      </c>
      <c r="P70" s="1652" t="s">
        <v>1550</v>
      </c>
      <c r="Q70" s="1605">
        <f ca="1">C13</f>
        <v>3071</v>
      </c>
      <c r="R70" s="1605" t="s">
        <v>1494</v>
      </c>
    </row>
    <row r="71" spans="1:18" s="1569" customFormat="1" ht="13.5" thickBot="1">
      <c r="A71" s="1102" t="s">
        <v>1001</v>
      </c>
      <c r="B71" s="1103" t="s">
        <v>1452</v>
      </c>
      <c r="C71" s="342">
        <f ca="1">ROUND(C68*10000/F71,0)</f>
        <v>-6634</v>
      </c>
      <c r="D71" s="1104" t="s">
        <v>1453</v>
      </c>
      <c r="E71" s="1105" t="s">
        <v>1454</v>
      </c>
      <c r="F71" s="345">
        <f ca="1">F43</f>
        <v>6787.95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261</v>
      </c>
      <c r="D75" s="1569"/>
      <c r="E75" s="1569"/>
      <c r="F75" s="1569"/>
      <c r="K75" s="1587"/>
      <c r="L75" s="1569"/>
      <c r="O75" s="1603" t="s">
        <v>1014</v>
      </c>
      <c r="P75" s="1604" t="s">
        <v>1514</v>
      </c>
      <c r="Q75" s="1605">
        <f ca="1">Q65+Q66</f>
        <v>10804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0.67900000000000005</v>
      </c>
    </row>
    <row r="80" spans="1:18">
      <c r="B80" s="346" t="s">
        <v>1476</v>
      </c>
      <c r="C80" s="280">
        <f ca="1">ROUND(C75/C39,3)</f>
        <v>0.32100000000000001</v>
      </c>
    </row>
    <row r="81" spans="2:3">
      <c r="B81" s="276" t="s">
        <v>1477</v>
      </c>
      <c r="C81" s="244"/>
    </row>
    <row r="82" spans="2:3">
      <c r="B82" s="279" t="s">
        <v>1478</v>
      </c>
      <c r="C82" s="281">
        <f ca="1">1-C83</f>
        <v>0.71599999999999997</v>
      </c>
    </row>
    <row r="83" spans="2:3">
      <c r="B83" s="279" t="s">
        <v>1479</v>
      </c>
      <c r="C83" s="280">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49" t="s">
        <v>1368</v>
      </c>
      <c r="C6" s="1206">
        <f ca="1">ROUND(F6*F8*F7*(1-F9),0)</f>
        <v>0</v>
      </c>
      <c r="D6" s="160" t="s">
        <v>2845</v>
      </c>
      <c r="E6" s="308" t="s">
        <v>1370</v>
      </c>
      <c r="F6" s="309">
        <f ca="1">INDIRECT("'数据-取费表'!u"&amp;$G$1)</f>
        <v>0</v>
      </c>
      <c r="G6" s="1569"/>
      <c r="H6" s="1201" t="s">
        <v>1003</v>
      </c>
      <c r="I6" s="3249" t="s">
        <v>1368</v>
      </c>
      <c r="J6" s="307">
        <f ca="1">ROUND(M6*M8*M7*(1-M9),0)</f>
        <v>0</v>
      </c>
      <c r="K6" s="1561" t="s">
        <v>2846</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0</v>
      </c>
      <c r="G7" s="1569"/>
      <c r="H7" s="310"/>
      <c r="I7" s="3250"/>
      <c r="J7" s="312"/>
      <c r="K7" s="313"/>
      <c r="L7" s="308" t="s">
        <v>1371</v>
      </c>
      <c r="M7" s="309">
        <f ca="1">F7</f>
        <v>0</v>
      </c>
    </row>
    <row r="8" spans="1:37" ht="18" customHeight="1">
      <c r="A8" s="310"/>
      <c r="B8" s="3250"/>
      <c r="C8" s="312"/>
      <c r="D8" s="313"/>
      <c r="E8" s="308" t="s">
        <v>1372</v>
      </c>
      <c r="F8" s="309">
        <f ca="1">INDIRECT("'数据-取费表'!ai"&amp;$G$1)</f>
        <v>0</v>
      </c>
      <c r="G8" s="1569"/>
      <c r="H8" s="310"/>
      <c r="I8" s="3250"/>
      <c r="J8" s="312"/>
      <c r="K8" s="313"/>
      <c r="L8" s="308" t="s">
        <v>1372</v>
      </c>
      <c r="M8" s="309">
        <f ca="1">INDIRECT("'数据-取费表'!ai"&amp;$G$1)</f>
        <v>0</v>
      </c>
    </row>
    <row r="9" spans="1:37" ht="18" customHeight="1">
      <c r="A9" s="310"/>
      <c r="B9" s="3251"/>
      <c r="C9" s="312"/>
      <c r="D9" s="313"/>
      <c r="E9" s="308" t="s">
        <v>1373</v>
      </c>
      <c r="F9" s="318">
        <f ca="1">INDIRECT("'数据-取费表'!w"&amp;$G$1)</f>
        <v>0</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3055</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18</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7">
        <f ca="1">IF(M47="住宅",IF(D1="——",MAX(J51,L48),MAX(J51,L48-'数据-取费表'!B24)),IF(D1="——",MIN(J51,L48),MIN(J51,L48-'数据-取费表'!B24)))</f>
        <v>0</v>
      </c>
      <c r="K53" s="3247" t="s">
        <v>1513</v>
      </c>
      <c r="L53" s="324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18</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2147</v>
      </c>
      <c r="B2" s="2058">
        <f ca="1">SUMIF(B6:B13,"&lt;&gt;#ref!",B6:B13)</f>
        <v>10804</v>
      </c>
      <c r="C2" s="2059" t="s">
        <v>2339</v>
      </c>
      <c r="D2" s="2060" t="s">
        <v>2340</v>
      </c>
      <c r="E2" s="2834">
        <f>SUM(E6:E13)</f>
        <v>6787.95</v>
      </c>
      <c r="F2" s="2937"/>
      <c r="G2" s="1675"/>
      <c r="H2" s="1675"/>
      <c r="I2" s="1675"/>
      <c r="J2" s="1675"/>
      <c r="K2" s="1675"/>
      <c r="L2" s="1675"/>
      <c r="M2" s="1675"/>
      <c r="N2" s="1675"/>
      <c r="O2" s="1675"/>
      <c r="P2" s="1675"/>
      <c r="Q2" s="1675"/>
      <c r="R2" s="1675"/>
      <c r="S2" s="1675"/>
    </row>
    <row r="3" spans="1:22" ht="15.75">
      <c r="A3" s="2057" t="s">
        <v>1360</v>
      </c>
      <c r="B3" s="2828">
        <f ca="1">ROUND(B2*10000/E2,0)</f>
        <v>15916</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252" t="s">
        <v>2342</v>
      </c>
      <c r="C5" s="3253"/>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10804</v>
      </c>
      <c r="C6" s="2059" t="s">
        <v>2339</v>
      </c>
      <c r="D6" s="2939"/>
      <c r="E6" s="2833">
        <f>IF(OR(A6=0,F6="否"),0,'数据-取费表'!K6+'数据-取费表'!S6)</f>
        <v>6787.95</v>
      </c>
      <c r="F6" s="2063" t="s">
        <v>2345</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54" t="s">
        <v>1044</v>
      </c>
      <c r="B1" s="3255"/>
      <c r="C1" s="3256"/>
      <c r="D1" s="3257">
        <f>SUM(I10,I15,I20,I21,I23)</f>
        <v>0</v>
      </c>
      <c r="E1" s="3257"/>
      <c r="F1" s="3257"/>
      <c r="G1" s="3257"/>
      <c r="H1" s="3257"/>
      <c r="I1" s="3258"/>
    </row>
    <row r="2" spans="1:9">
      <c r="A2" s="3259" t="s">
        <v>1045</v>
      </c>
      <c r="B2" s="3260" t="s">
        <v>1046</v>
      </c>
      <c r="C2" s="3260"/>
      <c r="D2" s="1211" t="s">
        <v>1047</v>
      </c>
      <c r="E2" s="1211" t="s">
        <v>1048</v>
      </c>
      <c r="F2" s="1211" t="s">
        <v>1049</v>
      </c>
      <c r="G2" s="1211" t="s">
        <v>1050</v>
      </c>
      <c r="H2" s="1211" t="s">
        <v>1051</v>
      </c>
      <c r="I2" s="1212" t="s">
        <v>1052</v>
      </c>
    </row>
    <row r="3" spans="1:9">
      <c r="A3" s="3259"/>
      <c r="B3" s="3260" t="s">
        <v>1053</v>
      </c>
      <c r="C3" s="3260"/>
      <c r="D3" s="1213"/>
      <c r="E3" s="1211"/>
      <c r="F3" s="1214"/>
      <c r="G3" s="1214"/>
      <c r="H3" s="1215"/>
      <c r="I3" s="1216">
        <f>ROUND(D3*E3*F3*G3*H3/10000,0)</f>
        <v>0</v>
      </c>
    </row>
    <row r="4" spans="1:9">
      <c r="A4" s="3259"/>
      <c r="B4" s="3260" t="s">
        <v>1054</v>
      </c>
      <c r="C4" s="3260"/>
      <c r="D4" s="1213"/>
      <c r="E4" s="1211"/>
      <c r="F4" s="1214"/>
      <c r="G4" s="1214"/>
      <c r="H4" s="1215"/>
      <c r="I4" s="1216">
        <f t="shared" ref="I4:I9" si="0">ROUND(D4*E4*F4*G4*H4/10000,0)</f>
        <v>0</v>
      </c>
    </row>
    <row r="5" spans="1:9">
      <c r="A5" s="3259"/>
      <c r="B5" s="3260" t="s">
        <v>1055</v>
      </c>
      <c r="C5" s="3260"/>
      <c r="D5" s="1213"/>
      <c r="E5" s="1211"/>
      <c r="F5" s="1214"/>
      <c r="G5" s="1214"/>
      <c r="H5" s="1215"/>
      <c r="I5" s="1216">
        <f t="shared" si="0"/>
        <v>0</v>
      </c>
    </row>
    <row r="6" spans="1:9">
      <c r="A6" s="3259"/>
      <c r="B6" s="3260" t="s">
        <v>1056</v>
      </c>
      <c r="C6" s="3260"/>
      <c r="D6" s="1213"/>
      <c r="E6" s="1211"/>
      <c r="F6" s="1214"/>
      <c r="G6" s="1214"/>
      <c r="H6" s="1215"/>
      <c r="I6" s="1216">
        <f t="shared" si="0"/>
        <v>0</v>
      </c>
    </row>
    <row r="7" spans="1:9">
      <c r="A7" s="3259"/>
      <c r="B7" s="3260" t="s">
        <v>1057</v>
      </c>
      <c r="C7" s="3260"/>
      <c r="D7" s="1213"/>
      <c r="E7" s="1211"/>
      <c r="F7" s="1214"/>
      <c r="G7" s="1214"/>
      <c r="H7" s="1215"/>
      <c r="I7" s="1216">
        <f t="shared" si="0"/>
        <v>0</v>
      </c>
    </row>
    <row r="8" spans="1:9">
      <c r="A8" s="3259"/>
      <c r="B8" s="3260" t="s">
        <v>1058</v>
      </c>
      <c r="C8" s="3260"/>
      <c r="D8" s="1213"/>
      <c r="E8" s="1211"/>
      <c r="F8" s="1214"/>
      <c r="G8" s="1214"/>
      <c r="H8" s="1215"/>
      <c r="I8" s="1216">
        <f t="shared" si="0"/>
        <v>0</v>
      </c>
    </row>
    <row r="9" spans="1:9">
      <c r="A9" s="3259"/>
      <c r="B9" s="3260" t="s">
        <v>1059</v>
      </c>
      <c r="C9" s="3260"/>
      <c r="D9" s="1213"/>
      <c r="E9" s="1211"/>
      <c r="F9" s="1214"/>
      <c r="G9" s="1214"/>
      <c r="H9" s="1215"/>
      <c r="I9" s="1216">
        <f t="shared" si="0"/>
        <v>0</v>
      </c>
    </row>
    <row r="10" spans="1:9">
      <c r="A10" s="3259"/>
      <c r="B10" s="3261" t="s">
        <v>1060</v>
      </c>
      <c r="C10" s="3261"/>
      <c r="D10" s="1217"/>
      <c r="E10" s="1217" t="e">
        <f>ROUND(D1*10000/D10/H9,0)</f>
        <v>#DIV/0!</v>
      </c>
      <c r="F10" s="1218"/>
      <c r="G10" s="1218"/>
      <c r="H10" s="1219"/>
      <c r="I10" s="1220">
        <f>SUM(I3:I9)</f>
        <v>0</v>
      </c>
    </row>
    <row r="11" spans="1:9" ht="14.25">
      <c r="A11" s="3259" t="s">
        <v>1061</v>
      </c>
      <c r="B11" s="3260" t="s">
        <v>1062</v>
      </c>
      <c r="C11" s="3260"/>
      <c r="D11" s="1213" t="s">
        <v>1063</v>
      </c>
      <c r="E11" s="1213" t="s">
        <v>1064</v>
      </c>
      <c r="F11" s="1214" t="s">
        <v>1065</v>
      </c>
      <c r="G11" s="1214" t="s">
        <v>1051</v>
      </c>
      <c r="H11" s="1221" t="s">
        <v>1066</v>
      </c>
      <c r="I11" s="1212" t="s">
        <v>1052</v>
      </c>
    </row>
    <row r="12" spans="1:9">
      <c r="A12" s="3259"/>
      <c r="B12" s="3260" t="s">
        <v>1067</v>
      </c>
      <c r="C12" s="3260"/>
      <c r="D12" s="1213"/>
      <c r="E12" s="1213"/>
      <c r="F12" s="1214"/>
      <c r="G12" s="1215"/>
      <c r="H12" s="1222"/>
      <c r="I12" s="1212">
        <f>ROUND(D12*E12*F12*G12/10000,0)</f>
        <v>0</v>
      </c>
    </row>
    <row r="13" spans="1:9">
      <c r="A13" s="3259"/>
      <c r="B13" s="3260" t="s">
        <v>1068</v>
      </c>
      <c r="C13" s="3260"/>
      <c r="D13" s="1213"/>
      <c r="E13" s="1213"/>
      <c r="F13" s="1214"/>
      <c r="G13" s="1215"/>
      <c r="H13" s="1222"/>
      <c r="I13" s="1212">
        <f>ROUND(D13*E13*F13*G13/10000,0)</f>
        <v>0</v>
      </c>
    </row>
    <row r="14" spans="1:9">
      <c r="A14" s="3259"/>
      <c r="B14" s="3260" t="s">
        <v>1069</v>
      </c>
      <c r="C14" s="3260"/>
      <c r="D14" s="1213"/>
      <c r="E14" s="1213"/>
      <c r="F14" s="1214"/>
      <c r="G14" s="1215"/>
      <c r="H14" s="1222"/>
      <c r="I14" s="1212">
        <f>ROUND(D14*E14*F14*G14/10000,0)</f>
        <v>0</v>
      </c>
    </row>
    <row r="15" spans="1:9">
      <c r="A15" s="3259"/>
      <c r="B15" s="3261" t="s">
        <v>1060</v>
      </c>
      <c r="C15" s="3261"/>
      <c r="D15" s="1217"/>
      <c r="E15" s="1217">
        <f>SUM(E12:E14)</f>
        <v>0</v>
      </c>
      <c r="F15" s="1218"/>
      <c r="G15" s="1215"/>
      <c r="H15" s="1222"/>
      <c r="I15" s="1223">
        <f>SUM(I12:I14)</f>
        <v>0</v>
      </c>
    </row>
    <row r="16" spans="1:9" ht="24">
      <c r="A16" s="3259" t="s">
        <v>1070</v>
      </c>
      <c r="B16" s="3260" t="s">
        <v>1071</v>
      </c>
      <c r="C16" s="3260"/>
      <c r="D16" s="1213" t="s">
        <v>1047</v>
      </c>
      <c r="E16" s="1224" t="s">
        <v>1072</v>
      </c>
      <c r="F16" s="1214" t="s">
        <v>1073</v>
      </c>
      <c r="G16" s="1215" t="s">
        <v>1051</v>
      </c>
      <c r="H16" s="1221" t="s">
        <v>1066</v>
      </c>
      <c r="I16" s="1212" t="s">
        <v>1052</v>
      </c>
    </row>
    <row r="17" spans="1:9" ht="14.25">
      <c r="A17" s="3259"/>
      <c r="B17" s="3260" t="s">
        <v>1074</v>
      </c>
      <c r="C17" s="3260"/>
      <c r="D17" s="1213"/>
      <c r="E17" s="1213"/>
      <c r="F17" s="1214"/>
      <c r="G17" s="1215"/>
      <c r="H17" s="1225"/>
      <c r="I17" s="1226">
        <f>ROUND(D17*E17*F17*G17/10000,0)</f>
        <v>0</v>
      </c>
    </row>
    <row r="18" spans="1:9" ht="14.25">
      <c r="A18" s="3259"/>
      <c r="B18" s="3260" t="s">
        <v>1075</v>
      </c>
      <c r="C18" s="3260"/>
      <c r="D18" s="1213"/>
      <c r="E18" s="1213"/>
      <c r="F18" s="1214"/>
      <c r="G18" s="1215"/>
      <c r="H18" s="1225"/>
      <c r="I18" s="1226">
        <f>ROUND(D18*E18*F18*G18/10000,0)</f>
        <v>0</v>
      </c>
    </row>
    <row r="19" spans="1:9" ht="14.25">
      <c r="A19" s="3259"/>
      <c r="B19" s="3260" t="s">
        <v>1076</v>
      </c>
      <c r="C19" s="3260"/>
      <c r="D19" s="1213"/>
      <c r="E19" s="1213"/>
      <c r="F19" s="1214"/>
      <c r="G19" s="1215"/>
      <c r="H19" s="1225"/>
      <c r="I19" s="1226">
        <f>ROUND(D19*E19*F19*G19/10000,0)</f>
        <v>0</v>
      </c>
    </row>
    <row r="20" spans="1:9">
      <c r="A20" s="3259"/>
      <c r="B20" s="3261" t="s">
        <v>1060</v>
      </c>
      <c r="C20" s="3261"/>
      <c r="D20" s="1217">
        <f>SUM(D17:D19)</f>
        <v>0</v>
      </c>
      <c r="E20" s="1217"/>
      <c r="F20" s="1218"/>
      <c r="G20" s="1215"/>
      <c r="H20" s="1222"/>
      <c r="I20" s="1223">
        <f>SUM(I17:I19)</f>
        <v>0</v>
      </c>
    </row>
    <row r="21" spans="1:9">
      <c r="A21" s="3259" t="s">
        <v>1077</v>
      </c>
      <c r="B21" s="3263"/>
      <c r="C21" s="3263"/>
      <c r="D21" s="3263"/>
      <c r="E21" s="3263"/>
      <c r="F21" s="3263"/>
      <c r="G21" s="3263"/>
      <c r="H21" s="1503">
        <v>0.1</v>
      </c>
      <c r="I21" s="1220">
        <f>ROUND(I10*H21,0)</f>
        <v>0</v>
      </c>
    </row>
    <row r="22" spans="1:9" ht="14.25">
      <c r="A22" s="3264" t="s">
        <v>1078</v>
      </c>
      <c r="B22" s="3265"/>
      <c r="C22" s="3266"/>
      <c r="D22" s="1227" t="s">
        <v>1079</v>
      </c>
      <c r="E22" s="1227" t="s">
        <v>1080</v>
      </c>
      <c r="F22" s="1228" t="s">
        <v>1081</v>
      </c>
      <c r="G22" s="1228" t="s">
        <v>1082</v>
      </c>
      <c r="H22" s="1221" t="s">
        <v>1083</v>
      </c>
      <c r="I22" s="1212" t="s">
        <v>1084</v>
      </c>
    </row>
    <row r="23" spans="1:9" ht="14.25" thickBot="1">
      <c r="A23" s="3267"/>
      <c r="B23" s="3268"/>
      <c r="C23" s="3269"/>
      <c r="D23" s="1229"/>
      <c r="E23" s="1229"/>
      <c r="F23" s="1229"/>
      <c r="G23" s="1230"/>
      <c r="H23" s="1231"/>
      <c r="I23" s="1232">
        <f>ROUND(E23*D23*F23*(1-G23)/10000,0)</f>
        <v>0</v>
      </c>
    </row>
    <row r="26" spans="1:9">
      <c r="A26" s="1233" t="s">
        <v>1085</v>
      </c>
      <c r="B26" s="1233"/>
      <c r="C26" s="1233"/>
      <c r="D26" s="1233"/>
      <c r="E26" s="3270">
        <f>C27-C30-C31-C32</f>
        <v>0</v>
      </c>
      <c r="F26" s="3270"/>
      <c r="G26" s="3270"/>
      <c r="H26" s="1500" t="s">
        <v>1306</v>
      </c>
    </row>
    <row r="27" spans="1:9">
      <c r="A27" s="1234">
        <v>1</v>
      </c>
      <c r="B27" s="1235" t="s">
        <v>1086</v>
      </c>
      <c r="C27" s="1235">
        <f>C28+C29</f>
        <v>0</v>
      </c>
      <c r="D27" s="1235"/>
      <c r="E27" s="3271"/>
      <c r="F27" s="3271"/>
      <c r="G27" s="3271"/>
    </row>
    <row r="28" spans="1:9">
      <c r="A28" s="1236" t="s">
        <v>1087</v>
      </c>
      <c r="B28" s="1235" t="s">
        <v>1088</v>
      </c>
      <c r="C28" s="1235"/>
      <c r="D28" s="1235"/>
      <c r="E28" s="3271"/>
      <c r="F28" s="3271"/>
      <c r="G28" s="32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2"/>
      <c r="F32" s="3262"/>
      <c r="G32" s="3262"/>
    </row>
    <row r="33" spans="1:7" hidden="1">
      <c r="A33" s="3272" t="s">
        <v>1097</v>
      </c>
      <c r="B33" s="3273"/>
      <c r="C33" s="3273"/>
      <c r="D33" s="3274"/>
      <c r="E33" s="3270"/>
      <c r="F33" s="3270"/>
      <c r="G33" s="3270"/>
    </row>
    <row r="34" spans="1:7" hidden="1">
      <c r="A34" s="1238">
        <v>1</v>
      </c>
      <c r="B34" s="1235" t="s">
        <v>1098</v>
      </c>
      <c r="C34" s="1235"/>
      <c r="D34" s="1235"/>
      <c r="E34" s="3271"/>
      <c r="F34" s="3271"/>
      <c r="G34" s="3271"/>
    </row>
    <row r="35" spans="1:7" hidden="1">
      <c r="A35" s="1238">
        <v>2</v>
      </c>
      <c r="B35" s="1235" t="s">
        <v>1099</v>
      </c>
      <c r="C35" s="1235"/>
      <c r="D35" s="1235"/>
      <c r="E35" s="3271"/>
      <c r="F35" s="3271"/>
      <c r="G35" s="3271"/>
    </row>
    <row r="36" spans="1:7" hidden="1">
      <c r="A36" s="1238">
        <v>3</v>
      </c>
      <c r="B36" s="1235" t="s">
        <v>1100</v>
      </c>
      <c r="C36" s="1235"/>
      <c r="D36" s="1235"/>
      <c r="E36" s="3271"/>
      <c r="F36" s="3271"/>
      <c r="G36" s="3271"/>
    </row>
    <row r="37" spans="1:7" hidden="1">
      <c r="A37" s="1238">
        <v>4</v>
      </c>
      <c r="B37" s="1235" t="s">
        <v>1101</v>
      </c>
      <c r="C37" s="1235"/>
      <c r="D37" s="1235"/>
      <c r="E37" s="3271"/>
      <c r="F37" s="3271"/>
      <c r="G37" s="3271"/>
    </row>
    <row r="38" spans="1:7" hidden="1">
      <c r="A38" s="3272" t="s">
        <v>1102</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c r="E1" s="2545"/>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6787.95</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293" t="s">
        <v>2356</v>
      </c>
      <c r="D4" s="3294"/>
      <c r="E4" s="3295" t="s">
        <v>2357</v>
      </c>
      <c r="F4" s="3296"/>
      <c r="G4" s="3293" t="s">
        <v>2358</v>
      </c>
      <c r="H4" s="3294"/>
      <c r="I4" s="3293" t="s">
        <v>2359</v>
      </c>
      <c r="J4" s="3294"/>
      <c r="K4" s="2076" t="s">
        <v>2360</v>
      </c>
      <c r="L4" s="2945"/>
      <c r="M4" s="2946"/>
      <c r="N4" s="2946"/>
      <c r="O4" s="2946"/>
      <c r="P4" s="3297" t="s">
        <v>2361</v>
      </c>
      <c r="Q4" s="3298"/>
      <c r="R4" s="3280" t="s">
        <v>2357</v>
      </c>
      <c r="S4" s="3281"/>
      <c r="T4" s="3280" t="s">
        <v>2358</v>
      </c>
      <c r="U4" s="3281"/>
      <c r="V4" s="3305" t="s">
        <v>2359</v>
      </c>
      <c r="W4" s="3305"/>
      <c r="X4" s="1540"/>
      <c r="Y4" s="3280" t="s">
        <v>2361</v>
      </c>
      <c r="Z4" s="3281"/>
      <c r="AA4" s="3275" t="s">
        <v>2357</v>
      </c>
      <c r="AB4" s="3275" t="s">
        <v>2358</v>
      </c>
      <c r="AC4" s="3275" t="s">
        <v>2359</v>
      </c>
    </row>
    <row r="5" spans="1:29" ht="15">
      <c r="A5" s="364"/>
      <c r="B5" s="365"/>
      <c r="C5" s="3286" t="s">
        <v>2362</v>
      </c>
      <c r="D5" s="3287"/>
      <c r="E5" s="3284" t="s">
        <v>2363</v>
      </c>
      <c r="F5" s="3285"/>
      <c r="G5" s="3286" t="s">
        <v>2364</v>
      </c>
      <c r="H5" s="3287"/>
      <c r="I5" s="3286" t="s">
        <v>2365</v>
      </c>
      <c r="J5" s="3287"/>
      <c r="K5" s="207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207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44267</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78" t="s">
        <v>2369</v>
      </c>
      <c r="Q7" s="3306"/>
      <c r="R7" s="710" t="s">
        <v>23</v>
      </c>
      <c r="S7" s="711">
        <f t="shared" ref="S7:S15" si="0">F7</f>
        <v>0</v>
      </c>
      <c r="T7" s="710" t="s">
        <v>23</v>
      </c>
      <c r="U7" s="711">
        <f t="shared" ref="U7:U15" si="1">H7</f>
        <v>0</v>
      </c>
      <c r="V7" s="710" t="s">
        <v>23</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78" t="s">
        <v>2372</v>
      </c>
      <c r="Q8" s="3279"/>
      <c r="R8" s="710" t="s">
        <v>23</v>
      </c>
      <c r="S8" s="711">
        <f t="shared" si="0"/>
        <v>0</v>
      </c>
      <c r="T8" s="710" t="s">
        <v>23</v>
      </c>
      <c r="U8" s="711">
        <f t="shared" si="1"/>
        <v>0</v>
      </c>
      <c r="V8" s="710" t="s">
        <v>23</v>
      </c>
      <c r="W8" s="711">
        <f t="shared" si="2"/>
        <v>0</v>
      </c>
      <c r="X8" s="712"/>
      <c r="Y8" s="3278" t="s">
        <v>2372</v>
      </c>
      <c r="Z8" s="327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2"/>
      <c r="Q11" s="1528" t="str">
        <f t="shared" si="6"/>
        <v>容积率</v>
      </c>
      <c r="R11" s="710" t="s">
        <v>21</v>
      </c>
      <c r="S11" s="711" t="e">
        <f t="shared" si="0"/>
        <v>#N/A</v>
      </c>
      <c r="T11" s="710" t="s">
        <v>21</v>
      </c>
      <c r="U11" s="711" t="e">
        <f t="shared" si="1"/>
        <v>#N/A</v>
      </c>
      <c r="V11" s="710" t="s">
        <v>21</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2"/>
      <c r="Q12" s="1528">
        <f t="shared" si="6"/>
        <v>111</v>
      </c>
      <c r="R12" s="710" t="s">
        <v>21</v>
      </c>
      <c r="S12" s="711">
        <f t="shared" si="0"/>
        <v>100</v>
      </c>
      <c r="T12" s="710" t="s">
        <v>21</v>
      </c>
      <c r="U12" s="711">
        <f t="shared" si="1"/>
        <v>100</v>
      </c>
      <c r="V12" s="710" t="s">
        <v>21</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2"/>
      <c r="Q13" s="1528">
        <f t="shared" si="6"/>
        <v>111</v>
      </c>
      <c r="R13" s="710" t="s">
        <v>21</v>
      </c>
      <c r="S13" s="711">
        <f t="shared" si="0"/>
        <v>100</v>
      </c>
      <c r="T13" s="710" t="s">
        <v>21</v>
      </c>
      <c r="U13" s="711">
        <f t="shared" si="1"/>
        <v>100</v>
      </c>
      <c r="V13" s="710" t="s">
        <v>21</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2"/>
      <c r="Q14" s="1528">
        <f t="shared" si="6"/>
        <v>111</v>
      </c>
      <c r="R14" s="710" t="s">
        <v>21</v>
      </c>
      <c r="S14" s="711">
        <f t="shared" si="0"/>
        <v>100</v>
      </c>
      <c r="T14" s="710" t="s">
        <v>21</v>
      </c>
      <c r="U14" s="711">
        <f t="shared" si="1"/>
        <v>100</v>
      </c>
      <c r="V14" s="710" t="s">
        <v>21</v>
      </c>
      <c r="W14" s="711">
        <f t="shared" si="2"/>
        <v>100</v>
      </c>
      <c r="X14" s="712"/>
      <c r="Y14" s="3220"/>
      <c r="Z14" s="55">
        <f t="shared" si="7"/>
        <v>111</v>
      </c>
      <c r="AA14" s="713">
        <f t="shared" si="3"/>
        <v>1</v>
      </c>
      <c r="AB14" s="713">
        <f t="shared" si="4"/>
        <v>1</v>
      </c>
      <c r="AC14" s="713">
        <f t="shared" si="5"/>
        <v>1</v>
      </c>
    </row>
    <row r="15" spans="1:29" ht="99.75">
      <c r="A15" s="399" t="s">
        <v>2379</v>
      </c>
      <c r="B15" s="65" t="s">
        <v>1942</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9" t="s">
        <v>2380</v>
      </c>
      <c r="Q15" s="1537" t="str">
        <f t="shared" si="6"/>
        <v>居住社区成熟度</v>
      </c>
      <c r="R15" s="714" t="s">
        <v>21</v>
      </c>
      <c r="S15" s="715">
        <f t="shared" si="0"/>
        <v>100</v>
      </c>
      <c r="T15" s="714" t="s">
        <v>21</v>
      </c>
      <c r="U15" s="715">
        <f t="shared" si="1"/>
        <v>100</v>
      </c>
      <c r="V15" s="714" t="s">
        <v>21</v>
      </c>
      <c r="W15" s="715">
        <f t="shared" si="2"/>
        <v>100</v>
      </c>
      <c r="X15" s="1540"/>
      <c r="Y15" s="3312"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20"/>
      <c r="Q17" s="1537" t="str">
        <f>B17</f>
        <v>交通便捷度</v>
      </c>
      <c r="R17" s="714" t="s">
        <v>21</v>
      </c>
      <c r="S17" s="715">
        <f>F17</f>
        <v>100</v>
      </c>
      <c r="T17" s="714" t="s">
        <v>21</v>
      </c>
      <c r="U17" s="715">
        <f>H17</f>
        <v>100</v>
      </c>
      <c r="V17" s="714" t="s">
        <v>21</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1943</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20"/>
      <c r="Q19" s="1537" t="str">
        <f>B19</f>
        <v>公共配套设施</v>
      </c>
      <c r="R19" s="714" t="s">
        <v>21</v>
      </c>
      <c r="S19" s="715">
        <f>F19</f>
        <v>100</v>
      </c>
      <c r="T19" s="714" t="s">
        <v>21</v>
      </c>
      <c r="U19" s="715">
        <f>H19</f>
        <v>100</v>
      </c>
      <c r="V19" s="714" t="s">
        <v>21</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1945</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1946</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20"/>
      <c r="Q23" s="1537" t="str">
        <f>B23</f>
        <v>自然及人文环境</v>
      </c>
      <c r="R23" s="714" t="s">
        <v>21</v>
      </c>
      <c r="S23" s="715">
        <f>F23</f>
        <v>100</v>
      </c>
      <c r="T23" s="714" t="s">
        <v>21</v>
      </c>
      <c r="U23" s="715">
        <f>H23</f>
        <v>100</v>
      </c>
      <c r="V23" s="714" t="s">
        <v>21</v>
      </c>
      <c r="W23" s="715">
        <f>J23</f>
        <v>100</v>
      </c>
      <c r="X23" s="1540"/>
      <c r="Y23" s="331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2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3"/>
      <c r="Z25" s="1541" t="str">
        <f>Q25</f>
        <v>楼层-1</v>
      </c>
      <c r="AA25" s="1538">
        <f t="shared" ref="AA25:AA46" si="15">D25/F25</f>
        <v>1</v>
      </c>
      <c r="AB25" s="1538">
        <f t="shared" ref="AB25:AB46" si="16">D25/H25</f>
        <v>1</v>
      </c>
      <c r="AC25" s="1538">
        <f t="shared" ref="AC25:AC46" si="17">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20"/>
      <c r="Q26" s="1537" t="str">
        <f t="shared" si="11"/>
        <v>朝向</v>
      </c>
      <c r="R26" s="714" t="s">
        <v>21</v>
      </c>
      <c r="S26" s="715">
        <f t="shared" si="12"/>
        <v>100</v>
      </c>
      <c r="T26" s="714" t="s">
        <v>21</v>
      </c>
      <c r="U26" s="715">
        <f t="shared" si="13"/>
        <v>100</v>
      </c>
      <c r="V26" s="714" t="s">
        <v>21</v>
      </c>
      <c r="W26" s="715">
        <f t="shared" si="14"/>
        <v>100</v>
      </c>
      <c r="X26" s="1540"/>
      <c r="Y26" s="331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20"/>
      <c r="Q27" s="1528">
        <f t="shared" si="11"/>
        <v>111</v>
      </c>
      <c r="R27" s="710" t="s">
        <v>21</v>
      </c>
      <c r="S27" s="711">
        <f t="shared" si="12"/>
        <v>100</v>
      </c>
      <c r="T27" s="710" t="s">
        <v>21</v>
      </c>
      <c r="U27" s="711">
        <f t="shared" si="13"/>
        <v>100</v>
      </c>
      <c r="V27" s="710" t="s">
        <v>21</v>
      </c>
      <c r="W27" s="711">
        <f t="shared" si="14"/>
        <v>100</v>
      </c>
      <c r="X27" s="712"/>
      <c r="Y27" s="331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20"/>
      <c r="Q28" s="1537">
        <f t="shared" si="11"/>
        <v>111</v>
      </c>
      <c r="R28" s="714" t="s">
        <v>21</v>
      </c>
      <c r="S28" s="715">
        <f t="shared" si="12"/>
        <v>100</v>
      </c>
      <c r="T28" s="714" t="s">
        <v>21</v>
      </c>
      <c r="U28" s="715">
        <f t="shared" si="13"/>
        <v>100</v>
      </c>
      <c r="V28" s="714" t="s">
        <v>21</v>
      </c>
      <c r="W28" s="715">
        <f t="shared" si="14"/>
        <v>100</v>
      </c>
      <c r="X28" s="1540"/>
      <c r="Y28" s="331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20"/>
      <c r="Q29" s="1537">
        <f t="shared" si="11"/>
        <v>111</v>
      </c>
      <c r="R29" s="714" t="s">
        <v>21</v>
      </c>
      <c r="S29" s="715">
        <f t="shared" si="12"/>
        <v>100</v>
      </c>
      <c r="T29" s="714" t="s">
        <v>21</v>
      </c>
      <c r="U29" s="715">
        <f t="shared" si="13"/>
        <v>100</v>
      </c>
      <c r="V29" s="714" t="s">
        <v>21</v>
      </c>
      <c r="W29" s="715">
        <f t="shared" si="14"/>
        <v>100</v>
      </c>
      <c r="X29" s="1540"/>
      <c r="Y29" s="331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20"/>
      <c r="Q30" s="1537">
        <f t="shared" si="11"/>
        <v>111</v>
      </c>
      <c r="R30" s="714" t="s">
        <v>21</v>
      </c>
      <c r="S30" s="715">
        <f t="shared" si="12"/>
        <v>100</v>
      </c>
      <c r="T30" s="714" t="s">
        <v>21</v>
      </c>
      <c r="U30" s="715">
        <f t="shared" si="13"/>
        <v>100</v>
      </c>
      <c r="V30" s="714" t="s">
        <v>21</v>
      </c>
      <c r="W30" s="715">
        <f t="shared" si="14"/>
        <v>100</v>
      </c>
      <c r="X30" s="1540"/>
      <c r="Y30" s="331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20"/>
      <c r="Q31" s="1537">
        <f t="shared" si="11"/>
        <v>111</v>
      </c>
      <c r="R31" s="714" t="s">
        <v>21</v>
      </c>
      <c r="S31" s="715">
        <f t="shared" si="12"/>
        <v>100</v>
      </c>
      <c r="T31" s="714" t="s">
        <v>21</v>
      </c>
      <c r="U31" s="715">
        <f t="shared" si="13"/>
        <v>100</v>
      </c>
      <c r="V31" s="714" t="s">
        <v>21</v>
      </c>
      <c r="W31" s="715">
        <f t="shared" si="14"/>
        <v>100</v>
      </c>
      <c r="X31" s="1540"/>
      <c r="Y31" s="3313"/>
      <c r="Z31" s="1541">
        <f t="shared" si="18"/>
        <v>111</v>
      </c>
      <c r="AA31" s="1538">
        <f t="shared" si="15"/>
        <v>1</v>
      </c>
      <c r="AB31" s="1538">
        <f t="shared" si="16"/>
        <v>1</v>
      </c>
      <c r="AC31" s="1538">
        <f t="shared" si="17"/>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4" t="s">
        <v>2385</v>
      </c>
      <c r="Q32" s="1537" t="str">
        <f t="shared" si="11"/>
        <v>建筑类型</v>
      </c>
      <c r="R32" s="714" t="s">
        <v>21</v>
      </c>
      <c r="S32" s="715">
        <f t="shared" si="12"/>
        <v>100</v>
      </c>
      <c r="T32" s="714" t="s">
        <v>21</v>
      </c>
      <c r="U32" s="715">
        <f t="shared" si="13"/>
        <v>100</v>
      </c>
      <c r="V32" s="714" t="s">
        <v>21</v>
      </c>
      <c r="W32" s="715">
        <f t="shared" si="14"/>
        <v>100</v>
      </c>
      <c r="X32" s="1540"/>
      <c r="Y32" s="3317" t="s">
        <v>2385</v>
      </c>
      <c r="Z32" s="1541" t="str">
        <f t="shared" si="18"/>
        <v>建筑类型</v>
      </c>
      <c r="AA32" s="1538">
        <f t="shared" si="15"/>
        <v>1</v>
      </c>
      <c r="AB32" s="1538">
        <f t="shared" si="16"/>
        <v>1</v>
      </c>
      <c r="AC32" s="1538">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8" t="e">
        <f t="shared" si="15"/>
        <v>#N/A</v>
      </c>
      <c r="AB33" s="1538" t="e">
        <f t="shared" si="16"/>
        <v>#N/A</v>
      </c>
      <c r="AC33" s="1538" t="e">
        <f t="shared" si="17"/>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5"/>
      <c r="Q34" s="1537" t="str">
        <f t="shared" si="11"/>
        <v>建筑结构</v>
      </c>
      <c r="R34" s="714" t="s">
        <v>21</v>
      </c>
      <c r="S34" s="715">
        <f t="shared" si="12"/>
        <v>100</v>
      </c>
      <c r="T34" s="714" t="s">
        <v>21</v>
      </c>
      <c r="U34" s="715">
        <f t="shared" si="13"/>
        <v>100</v>
      </c>
      <c r="V34" s="714" t="s">
        <v>21</v>
      </c>
      <c r="W34" s="715">
        <f t="shared" si="14"/>
        <v>100</v>
      </c>
      <c r="X34" s="1540"/>
      <c r="Y34" s="3317"/>
      <c r="Z34" s="1541" t="str">
        <f t="shared" si="18"/>
        <v>建筑结构</v>
      </c>
      <c r="AA34" s="1538">
        <f t="shared" si="15"/>
        <v>1</v>
      </c>
      <c r="AB34" s="1538">
        <f t="shared" si="16"/>
        <v>1</v>
      </c>
      <c r="AC34" s="1538">
        <f t="shared" si="17"/>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5"/>
      <c r="Q35" s="1537" t="str">
        <f t="shared" si="11"/>
        <v>建筑品质</v>
      </c>
      <c r="R35" s="714" t="s">
        <v>21</v>
      </c>
      <c r="S35" s="715">
        <f t="shared" si="12"/>
        <v>100</v>
      </c>
      <c r="T35" s="714" t="s">
        <v>21</v>
      </c>
      <c r="U35" s="715">
        <f t="shared" si="13"/>
        <v>100</v>
      </c>
      <c r="V35" s="714" t="s">
        <v>21</v>
      </c>
      <c r="W35" s="715">
        <f t="shared" si="14"/>
        <v>100</v>
      </c>
      <c r="X35" s="1540"/>
      <c r="Y35" s="3317"/>
      <c r="Z35" s="1541" t="str">
        <f t="shared" si="18"/>
        <v>建筑品质</v>
      </c>
      <c r="AA35" s="1538">
        <f t="shared" si="15"/>
        <v>1</v>
      </c>
      <c r="AB35" s="1538">
        <f t="shared" si="16"/>
        <v>1</v>
      </c>
      <c r="AC35" s="1538">
        <f t="shared" si="17"/>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5"/>
      <c r="Q36" s="1537" t="str">
        <f t="shared" si="11"/>
        <v>公共部分装修</v>
      </c>
      <c r="R36" s="714" t="s">
        <v>21</v>
      </c>
      <c r="S36" s="715">
        <f t="shared" si="12"/>
        <v>100</v>
      </c>
      <c r="T36" s="714" t="s">
        <v>21</v>
      </c>
      <c r="U36" s="715">
        <f t="shared" si="13"/>
        <v>100</v>
      </c>
      <c r="V36" s="714" t="s">
        <v>21</v>
      </c>
      <c r="W36" s="715">
        <f t="shared" si="14"/>
        <v>100</v>
      </c>
      <c r="X36" s="1540"/>
      <c r="Y36" s="3317"/>
      <c r="Z36" s="1541" t="str">
        <f t="shared" si="18"/>
        <v>公共部分装修</v>
      </c>
      <c r="AA36" s="1538">
        <f t="shared" si="15"/>
        <v>1</v>
      </c>
      <c r="AB36" s="1538">
        <f t="shared" si="16"/>
        <v>1</v>
      </c>
      <c r="AC36" s="1538">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5"/>
      <c r="Q37" s="1528"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5" t="s">
        <v>2385</v>
      </c>
      <c r="Q38" s="1537" t="str">
        <f t="shared" si="11"/>
        <v>物业管理</v>
      </c>
      <c r="R38" s="714" t="s">
        <v>21</v>
      </c>
      <c r="S38" s="715">
        <f t="shared" si="12"/>
        <v>100</v>
      </c>
      <c r="T38" s="714" t="s">
        <v>21</v>
      </c>
      <c r="U38" s="715">
        <f t="shared" si="13"/>
        <v>100</v>
      </c>
      <c r="V38" s="714" t="s">
        <v>21</v>
      </c>
      <c r="W38" s="715">
        <f t="shared" si="14"/>
        <v>100</v>
      </c>
      <c r="X38" s="1540"/>
      <c r="Y38" s="3317" t="s">
        <v>2385</v>
      </c>
      <c r="Z38" s="1541" t="str">
        <f t="shared" si="18"/>
        <v>物业管理</v>
      </c>
      <c r="AA38" s="1538">
        <f t="shared" si="15"/>
        <v>1</v>
      </c>
      <c r="AB38" s="1538">
        <f t="shared" si="16"/>
        <v>1</v>
      </c>
      <c r="AC38" s="1538">
        <f t="shared" si="17"/>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5"/>
      <c r="Q39" s="1537" t="str">
        <f t="shared" si="11"/>
        <v>市政基础设施</v>
      </c>
      <c r="R39" s="714" t="s">
        <v>21</v>
      </c>
      <c r="S39" s="715">
        <f t="shared" si="12"/>
        <v>100</v>
      </c>
      <c r="T39" s="714" t="s">
        <v>21</v>
      </c>
      <c r="U39" s="715">
        <f t="shared" si="13"/>
        <v>100</v>
      </c>
      <c r="V39" s="714" t="s">
        <v>21</v>
      </c>
      <c r="W39" s="715">
        <f t="shared" si="14"/>
        <v>100</v>
      </c>
      <c r="X39" s="1540"/>
      <c r="Y39" s="3317"/>
      <c r="Z39" s="1541" t="str">
        <f t="shared" si="18"/>
        <v>市政基础设施</v>
      </c>
      <c r="AA39" s="1538">
        <f t="shared" si="15"/>
        <v>1</v>
      </c>
      <c r="AB39" s="1538">
        <f t="shared" si="16"/>
        <v>1</v>
      </c>
      <c r="AC39" s="1538">
        <f t="shared" si="17"/>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5"/>
      <c r="Q40" s="1537" t="str">
        <f t="shared" si="11"/>
        <v>房型</v>
      </c>
      <c r="R40" s="714" t="s">
        <v>21</v>
      </c>
      <c r="S40" s="715">
        <f t="shared" si="12"/>
        <v>100</v>
      </c>
      <c r="T40" s="714" t="s">
        <v>21</v>
      </c>
      <c r="U40" s="715">
        <f t="shared" si="13"/>
        <v>100</v>
      </c>
      <c r="V40" s="714" t="s">
        <v>21</v>
      </c>
      <c r="W40" s="715">
        <f t="shared" si="14"/>
        <v>100</v>
      </c>
      <c r="X40" s="1540"/>
      <c r="Y40" s="3317"/>
      <c r="Z40" s="1541" t="str">
        <f t="shared" si="18"/>
        <v>房型</v>
      </c>
      <c r="AA40" s="1538">
        <f t="shared" si="15"/>
        <v>1</v>
      </c>
      <c r="AB40" s="1538">
        <f t="shared" si="16"/>
        <v>1</v>
      </c>
      <c r="AC40" s="1538">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8">
        <f t="shared" si="15"/>
        <v>1</v>
      </c>
      <c r="AB41" s="1538">
        <f t="shared" si="16"/>
        <v>1</v>
      </c>
      <c r="AC41" s="1538">
        <f t="shared" si="17"/>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5"/>
      <c r="Q42" s="1537" t="str">
        <f t="shared" si="11"/>
        <v>内部装修</v>
      </c>
      <c r="R42" s="714" t="s">
        <v>21</v>
      </c>
      <c r="S42" s="715">
        <f t="shared" si="12"/>
        <v>100</v>
      </c>
      <c r="T42" s="714" t="s">
        <v>21</v>
      </c>
      <c r="U42" s="715">
        <f t="shared" si="13"/>
        <v>100</v>
      </c>
      <c r="V42" s="714" t="s">
        <v>21</v>
      </c>
      <c r="W42" s="715">
        <f t="shared" si="14"/>
        <v>100</v>
      </c>
      <c r="X42" s="1540"/>
      <c r="Y42" s="3317"/>
      <c r="Z42" s="1541" t="str">
        <f t="shared" si="18"/>
        <v>内部装修</v>
      </c>
      <c r="AA42" s="1538">
        <f t="shared" si="15"/>
        <v>1</v>
      </c>
      <c r="AB42" s="1538">
        <f t="shared" si="16"/>
        <v>1</v>
      </c>
      <c r="AC42" s="1538">
        <f t="shared" si="17"/>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5"/>
      <c r="Q43" s="1537" t="str">
        <f t="shared" si="11"/>
        <v>内部装修维护情况</v>
      </c>
      <c r="R43" s="714" t="s">
        <v>21</v>
      </c>
      <c r="S43" s="715">
        <f t="shared" si="12"/>
        <v>100</v>
      </c>
      <c r="T43" s="714" t="s">
        <v>21</v>
      </c>
      <c r="U43" s="715">
        <f t="shared" si="13"/>
        <v>100</v>
      </c>
      <c r="V43" s="714" t="s">
        <v>21</v>
      </c>
      <c r="W43" s="715">
        <f t="shared" si="14"/>
        <v>100</v>
      </c>
      <c r="X43" s="1540"/>
      <c r="Y43" s="331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5"/>
      <c r="Q44" s="1528">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5"/>
      <c r="Q45" s="1537">
        <f t="shared" si="11"/>
        <v>111</v>
      </c>
      <c r="R45" s="714" t="s">
        <v>21</v>
      </c>
      <c r="S45" s="715">
        <f t="shared" si="12"/>
        <v>100</v>
      </c>
      <c r="T45" s="714" t="s">
        <v>21</v>
      </c>
      <c r="U45" s="715">
        <f t="shared" si="13"/>
        <v>100</v>
      </c>
      <c r="V45" s="714" t="s">
        <v>21</v>
      </c>
      <c r="W45" s="715">
        <f t="shared" si="14"/>
        <v>100</v>
      </c>
      <c r="X45" s="1540"/>
      <c r="Y45" s="331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6"/>
      <c r="Q46" s="1537">
        <f t="shared" si="11"/>
        <v>111</v>
      </c>
      <c r="R46" s="714" t="s">
        <v>20</v>
      </c>
      <c r="S46" s="715">
        <f t="shared" si="12"/>
        <v>100</v>
      </c>
      <c r="T46" s="714" t="s">
        <v>20</v>
      </c>
      <c r="U46" s="715">
        <f t="shared" si="13"/>
        <v>100</v>
      </c>
      <c r="V46" s="714" t="s">
        <v>20</v>
      </c>
      <c r="W46" s="715">
        <f t="shared" si="14"/>
        <v>100</v>
      </c>
      <c r="X46" s="1540"/>
      <c r="Y46" s="3318"/>
      <c r="Z46" s="1541">
        <f t="shared" si="18"/>
        <v>111</v>
      </c>
      <c r="AA46" s="1538">
        <f t="shared" si="15"/>
        <v>1</v>
      </c>
      <c r="AB46" s="1538">
        <f t="shared" si="16"/>
        <v>1</v>
      </c>
      <c r="AC46" s="1538">
        <f t="shared" si="17"/>
        <v>1</v>
      </c>
    </row>
    <row r="47" spans="1:29" ht="15">
      <c r="A47" s="438" t="s">
        <v>2397</v>
      </c>
      <c r="B47" s="439"/>
      <c r="C47" s="1316" t="s">
        <v>19</v>
      </c>
      <c r="D47" s="1317"/>
      <c r="E47" s="1318"/>
      <c r="F47" s="1319"/>
      <c r="G47" s="1320"/>
      <c r="H47" s="1321"/>
      <c r="I47" s="1318"/>
      <c r="J47" s="1321"/>
      <c r="K47" s="2101"/>
      <c r="L47" s="2954"/>
      <c r="M47" s="2955"/>
      <c r="N47" s="2946"/>
      <c r="O47" s="2955"/>
      <c r="P47" s="3310" t="str">
        <f>A47</f>
        <v>成交单价（元/平方米）</v>
      </c>
      <c r="Q47" s="3310"/>
      <c r="R47" s="3311">
        <f>E47</f>
        <v>0</v>
      </c>
      <c r="S47" s="3311"/>
      <c r="T47" s="3311">
        <f>G47</f>
        <v>0</v>
      </c>
      <c r="U47" s="3311"/>
      <c r="V47" s="3311">
        <f>I47</f>
        <v>0</v>
      </c>
      <c r="W47" s="3311"/>
      <c r="X47" s="699"/>
      <c r="Y47" s="721"/>
      <c r="Z47" s="699"/>
      <c r="AA47" s="699"/>
      <c r="AB47" s="699"/>
      <c r="AC47" s="699"/>
    </row>
    <row r="48" spans="1:29" ht="15.75" thickBot="1">
      <c r="A48" s="445" t="s">
        <v>2398</v>
      </c>
      <c r="B48" s="446"/>
      <c r="C48" s="1322" t="e">
        <f>R49</f>
        <v>#DIV/0!</v>
      </c>
      <c r="D48" s="2539" t="s">
        <v>2878</v>
      </c>
      <c r="E48" s="1323" t="e">
        <f>R48</f>
        <v>#DIV/0!</v>
      </c>
      <c r="F48" s="2540"/>
      <c r="G48" s="1322" t="e">
        <f>T48</f>
        <v>#DIV/0!</v>
      </c>
      <c r="H48" s="2540"/>
      <c r="I48" s="1323" t="e">
        <f>V48</f>
        <v>#DIV/0!</v>
      </c>
      <c r="J48" s="2540"/>
      <c r="K48" s="2541">
        <f>F48+H48+J48</f>
        <v>0</v>
      </c>
      <c r="L48" s="2954"/>
      <c r="M48" s="2955"/>
      <c r="N48" s="2955"/>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4"/>
      <c r="F1" s="2066"/>
      <c r="G1" s="1403" t="s">
        <v>2463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2149</v>
      </c>
      <c r="B3" s="566" t="e">
        <f ca="1">IF(C2="——",C49,ROUND(B2*10000/D3,0))</f>
        <v>#DIV/0!</v>
      </c>
      <c r="C3" s="360" t="s">
        <v>2464</v>
      </c>
      <c r="D3" s="359">
        <f>IF(D1="",'数据-汇总表'!E3,SUMIF('数据-汇总表'!$C19:$C33,D1,'数据-汇总表'!$E19:$E33))</f>
        <v>6787.95</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305"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305"/>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305"/>
      <c r="AC6" s="3277"/>
    </row>
    <row r="7" spans="1:29" s="113" customFormat="1" ht="15.75" thickBot="1">
      <c r="A7" s="368" t="s">
        <v>2368</v>
      </c>
      <c r="B7" s="369"/>
      <c r="C7" s="370">
        <f>'数据-取费表'!B2</f>
        <v>44267</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9" t="s">
        <v>2380</v>
      </c>
      <c r="Q15" s="1537" t="str">
        <f t="shared" si="6"/>
        <v>商业繁华度</v>
      </c>
      <c r="R15" s="714" t="s">
        <v>17</v>
      </c>
      <c r="S15" s="715">
        <f t="shared" si="0"/>
        <v>100</v>
      </c>
      <c r="T15" s="714" t="s">
        <v>17</v>
      </c>
      <c r="U15" s="715">
        <f t="shared" si="1"/>
        <v>100</v>
      </c>
      <c r="V15" s="714" t="s">
        <v>17</v>
      </c>
      <c r="W15" s="715">
        <f t="shared" si="2"/>
        <v>100</v>
      </c>
      <c r="X15" s="1540"/>
      <c r="Y15" s="3312"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1946</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20"/>
      <c r="Q23" s="1537" t="str">
        <f>B23</f>
        <v>自然及人文环境</v>
      </c>
      <c r="R23" s="714" t="s">
        <v>17</v>
      </c>
      <c r="S23" s="715">
        <f>F23</f>
        <v>100</v>
      </c>
      <c r="T23" s="714" t="s">
        <v>17</v>
      </c>
      <c r="U23" s="715">
        <f>H23</f>
        <v>100</v>
      </c>
      <c r="V23" s="714" t="s">
        <v>17</v>
      </c>
      <c r="W23" s="715">
        <f>J23</f>
        <v>100</v>
      </c>
      <c r="X23" s="1540"/>
      <c r="Y23" s="3313"/>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20"/>
      <c r="Q25" s="1537" t="str">
        <f t="shared" ref="Q25:Q46" si="11">B25</f>
        <v>临街状况</v>
      </c>
      <c r="R25" s="714" t="s">
        <v>17</v>
      </c>
      <c r="S25" s="715">
        <f>F25</f>
        <v>100</v>
      </c>
      <c r="T25" s="714" t="s">
        <v>17</v>
      </c>
      <c r="U25" s="715">
        <f>H25</f>
        <v>100</v>
      </c>
      <c r="V25" s="714" t="s">
        <v>17</v>
      </c>
      <c r="W25" s="715">
        <f>J25</f>
        <v>100</v>
      </c>
      <c r="X25" s="1540"/>
      <c r="Y25" s="3313"/>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20"/>
      <c r="Q26" s="1537" t="str">
        <f t="shared" si="11"/>
        <v>平面位置/可视性</v>
      </c>
      <c r="R26" s="714" t="s">
        <v>17</v>
      </c>
      <c r="S26" s="715">
        <f>F26</f>
        <v>100</v>
      </c>
      <c r="T26" s="714" t="s">
        <v>17</v>
      </c>
      <c r="U26" s="715">
        <f>H26</f>
        <v>100</v>
      </c>
      <c r="V26" s="714" t="s">
        <v>17</v>
      </c>
      <c r="W26" s="715">
        <f>J26</f>
        <v>100</v>
      </c>
      <c r="X26" s="1540"/>
      <c r="Y26" s="3313"/>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20"/>
      <c r="Q27" s="1528" t="str">
        <f t="shared" si="11"/>
        <v>人流量</v>
      </c>
      <c r="R27" s="710" t="s">
        <v>17</v>
      </c>
      <c r="S27" s="711">
        <f>F27</f>
        <v>100</v>
      </c>
      <c r="T27" s="710" t="s">
        <v>17</v>
      </c>
      <c r="U27" s="711">
        <f>H27</f>
        <v>100</v>
      </c>
      <c r="V27" s="710" t="s">
        <v>17</v>
      </c>
      <c r="W27" s="711">
        <f>J27</f>
        <v>100</v>
      </c>
      <c r="X27" s="712"/>
      <c r="Y27" s="3313"/>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20"/>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20"/>
      <c r="Q29" s="1537">
        <f t="shared" si="11"/>
        <v>111</v>
      </c>
      <c r="R29" s="714" t="s">
        <v>17</v>
      </c>
      <c r="S29" s="715">
        <f t="shared" si="12"/>
        <v>100</v>
      </c>
      <c r="T29" s="714" t="s">
        <v>17</v>
      </c>
      <c r="U29" s="715">
        <f t="shared" si="13"/>
        <v>100</v>
      </c>
      <c r="V29" s="714" t="s">
        <v>17</v>
      </c>
      <c r="W29" s="715">
        <f t="shared" si="14"/>
        <v>100</v>
      </c>
      <c r="X29" s="1540"/>
      <c r="Y29" s="331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4" t="s">
        <v>2385</v>
      </c>
      <c r="Q32" s="1537" t="str">
        <f t="shared" si="11"/>
        <v>商业类型</v>
      </c>
      <c r="R32" s="714" t="s">
        <v>17</v>
      </c>
      <c r="S32" s="715">
        <f t="shared" si="12"/>
        <v>100</v>
      </c>
      <c r="T32" s="714" t="s">
        <v>17</v>
      </c>
      <c r="U32" s="715">
        <f t="shared" si="13"/>
        <v>100</v>
      </c>
      <c r="V32" s="714" t="s">
        <v>17</v>
      </c>
      <c r="W32" s="715">
        <f t="shared" si="14"/>
        <v>100</v>
      </c>
      <c r="X32" s="1540"/>
      <c r="Y32" s="3317"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5"/>
      <c r="Q34" s="1537" t="str">
        <f t="shared" si="11"/>
        <v>建筑结构</v>
      </c>
      <c r="R34" s="714" t="s">
        <v>17</v>
      </c>
      <c r="S34" s="715">
        <f t="shared" si="12"/>
        <v>100</v>
      </c>
      <c r="T34" s="714" t="s">
        <v>17</v>
      </c>
      <c r="U34" s="715">
        <f t="shared" si="13"/>
        <v>100</v>
      </c>
      <c r="V34" s="714" t="s">
        <v>17</v>
      </c>
      <c r="W34" s="715">
        <f t="shared" si="14"/>
        <v>100</v>
      </c>
      <c r="X34" s="1540"/>
      <c r="Y34" s="3317"/>
      <c r="Z34" s="1541" t="str">
        <f t="shared" si="15"/>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5"/>
      <c r="Q35" s="1537" t="str">
        <f t="shared" si="11"/>
        <v>公共部分装修</v>
      </c>
      <c r="R35" s="714" t="s">
        <v>17</v>
      </c>
      <c r="S35" s="715">
        <f t="shared" si="12"/>
        <v>100</v>
      </c>
      <c r="T35" s="714" t="s">
        <v>17</v>
      </c>
      <c r="U35" s="715">
        <f t="shared" si="13"/>
        <v>100</v>
      </c>
      <c r="V35" s="714" t="s">
        <v>17</v>
      </c>
      <c r="W35" s="715">
        <f t="shared" si="14"/>
        <v>100</v>
      </c>
      <c r="X35" s="1540"/>
      <c r="Y35" s="3317"/>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5"/>
      <c r="Q36" s="1537" t="str">
        <f t="shared" si="11"/>
        <v>成新度</v>
      </c>
      <c r="R36" s="714" t="s">
        <v>17</v>
      </c>
      <c r="S36" s="715" t="e">
        <f t="shared" si="12"/>
        <v>#N/A</v>
      </c>
      <c r="T36" s="714" t="s">
        <v>17</v>
      </c>
      <c r="U36" s="715" t="e">
        <f t="shared" si="13"/>
        <v>#N/A</v>
      </c>
      <c r="V36" s="714" t="s">
        <v>17</v>
      </c>
      <c r="W36" s="715" t="e">
        <f t="shared" si="14"/>
        <v>#N/A</v>
      </c>
      <c r="X36" s="1540"/>
      <c r="Y36" s="3317"/>
      <c r="Z36" s="1541" t="str">
        <f t="shared" si="15"/>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5"/>
      <c r="Q37" s="1528"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5" t="s">
        <v>2385</v>
      </c>
      <c r="Q38" s="1537" t="str">
        <f t="shared" si="11"/>
        <v>业态</v>
      </c>
      <c r="R38" s="714" t="s">
        <v>17</v>
      </c>
      <c r="S38" s="715">
        <f t="shared" si="12"/>
        <v>100</v>
      </c>
      <c r="T38" s="714" t="s">
        <v>17</v>
      </c>
      <c r="U38" s="715">
        <f t="shared" si="13"/>
        <v>100</v>
      </c>
      <c r="V38" s="714" t="s">
        <v>17</v>
      </c>
      <c r="W38" s="715">
        <f t="shared" si="14"/>
        <v>100</v>
      </c>
      <c r="X38" s="1540"/>
      <c r="Y38" s="3317" t="s">
        <v>2385</v>
      </c>
      <c r="Z38" s="1541" t="str">
        <f t="shared" si="15"/>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5"/>
      <c r="Q39" s="1537" t="str">
        <f t="shared" si="11"/>
        <v>层高</v>
      </c>
      <c r="R39" s="714" t="s">
        <v>17</v>
      </c>
      <c r="S39" s="715">
        <f t="shared" si="12"/>
        <v>100</v>
      </c>
      <c r="T39" s="714" t="s">
        <v>17</v>
      </c>
      <c r="U39" s="715">
        <f t="shared" si="13"/>
        <v>100</v>
      </c>
      <c r="V39" s="714" t="s">
        <v>17</v>
      </c>
      <c r="W39" s="715">
        <f t="shared" si="14"/>
        <v>100</v>
      </c>
      <c r="X39" s="1540"/>
      <c r="Y39" s="3317"/>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5"/>
      <c r="Q40" s="1537" t="str">
        <f t="shared" si="11"/>
        <v>单套建筑面积</v>
      </c>
      <c r="R40" s="714" t="s">
        <v>17</v>
      </c>
      <c r="S40" s="715">
        <f t="shared" si="12"/>
        <v>100</v>
      </c>
      <c r="T40" s="714" t="s">
        <v>17</v>
      </c>
      <c r="U40" s="715">
        <f t="shared" si="13"/>
        <v>100</v>
      </c>
      <c r="V40" s="714" t="s">
        <v>17</v>
      </c>
      <c r="W40" s="715">
        <f t="shared" si="14"/>
        <v>100</v>
      </c>
      <c r="X40" s="1540"/>
      <c r="Y40" s="3317"/>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5"/>
      <c r="Q42" s="1537" t="str">
        <f t="shared" si="11"/>
        <v>内部装修</v>
      </c>
      <c r="R42" s="714" t="s">
        <v>17</v>
      </c>
      <c r="S42" s="715">
        <f t="shared" si="12"/>
        <v>100</v>
      </c>
      <c r="T42" s="714" t="s">
        <v>17</v>
      </c>
      <c r="U42" s="715">
        <f t="shared" si="13"/>
        <v>100</v>
      </c>
      <c r="V42" s="714" t="s">
        <v>17</v>
      </c>
      <c r="W42" s="715">
        <f t="shared" si="14"/>
        <v>100</v>
      </c>
      <c r="X42" s="1540"/>
      <c r="Y42" s="3317"/>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5"/>
      <c r="Q43" s="1537" t="str">
        <f t="shared" si="11"/>
        <v>内部装修维护情况</v>
      </c>
      <c r="R43" s="714" t="s">
        <v>17</v>
      </c>
      <c r="S43" s="715">
        <f t="shared" si="12"/>
        <v>100</v>
      </c>
      <c r="T43" s="714" t="s">
        <v>17</v>
      </c>
      <c r="U43" s="715">
        <f t="shared" si="13"/>
        <v>100</v>
      </c>
      <c r="V43" s="714" t="s">
        <v>17</v>
      </c>
      <c r="W43" s="715">
        <f t="shared" si="14"/>
        <v>100</v>
      </c>
      <c r="X43" s="1540"/>
      <c r="Y43" s="331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5"/>
      <c r="Q44" s="1528">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5"/>
      <c r="Q45" s="1537">
        <f t="shared" si="11"/>
        <v>111</v>
      </c>
      <c r="R45" s="714" t="s">
        <v>17</v>
      </c>
      <c r="S45" s="715">
        <f t="shared" si="12"/>
        <v>100</v>
      </c>
      <c r="T45" s="714" t="s">
        <v>17</v>
      </c>
      <c r="U45" s="715">
        <f t="shared" si="13"/>
        <v>100</v>
      </c>
      <c r="V45" s="714" t="s">
        <v>17</v>
      </c>
      <c r="W45" s="715">
        <f t="shared" si="14"/>
        <v>100</v>
      </c>
      <c r="X45" s="1540"/>
      <c r="Y45" s="3317"/>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6"/>
      <c r="Q46" s="1537">
        <f t="shared" si="11"/>
        <v>111</v>
      </c>
      <c r="R46" s="714" t="s">
        <v>17</v>
      </c>
      <c r="S46" s="715">
        <f t="shared" si="12"/>
        <v>100</v>
      </c>
      <c r="T46" s="714" t="s">
        <v>17</v>
      </c>
      <c r="U46" s="715">
        <f t="shared" si="13"/>
        <v>100</v>
      </c>
      <c r="V46" s="714" t="s">
        <v>17</v>
      </c>
      <c r="W46" s="715">
        <f t="shared" si="14"/>
        <v>100</v>
      </c>
      <c r="X46" s="1540"/>
      <c r="Y46" s="3318"/>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10" t="str">
        <f>A47</f>
        <v>成交单价（元/平方米）</v>
      </c>
      <c r="Q47" s="3310"/>
      <c r="R47" s="3305">
        <f>E47</f>
        <v>0</v>
      </c>
      <c r="S47" s="3305"/>
      <c r="T47" s="3305">
        <f>G47</f>
        <v>0</v>
      </c>
      <c r="U47" s="3305"/>
      <c r="V47" s="3305">
        <f>I47</f>
        <v>0</v>
      </c>
      <c r="W47" s="3305"/>
      <c r="X47" s="699"/>
      <c r="Y47" s="721"/>
      <c r="Z47" s="699"/>
      <c r="AA47" s="699"/>
      <c r="AB47" s="699"/>
      <c r="AC47" s="699"/>
    </row>
    <row r="48" spans="1:29" ht="15.75" thickBot="1">
      <c r="A48" s="445" t="s">
        <v>2489</v>
      </c>
      <c r="B48" s="446"/>
      <c r="C48" s="1322" t="e">
        <f>R49</f>
        <v>#DIV/0!</v>
      </c>
      <c r="D48" s="2539" t="s">
        <v>2878</v>
      </c>
      <c r="E48" s="1323" t="e">
        <f>R48</f>
        <v>#DIV/0!</v>
      </c>
      <c r="F48" s="2540"/>
      <c r="G48" s="1322" t="e">
        <f>T48</f>
        <v>#DIV/0!</v>
      </c>
      <c r="H48" s="2540"/>
      <c r="I48" s="1323" t="e">
        <f>V48</f>
        <v>#DIV/0!</v>
      </c>
      <c r="J48" s="2540"/>
      <c r="K48" s="2542">
        <f>F48+H48+J48</f>
        <v>0</v>
      </c>
      <c r="L48" s="2954"/>
      <c r="M48" s="2955"/>
      <c r="N48" s="2946"/>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6787.95</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327" t="s">
        <v>2471</v>
      </c>
      <c r="Q4" s="3328"/>
      <c r="R4" s="3322" t="s">
        <v>2467</v>
      </c>
      <c r="S4" s="3323"/>
      <c r="T4" s="3322" t="s">
        <v>2468</v>
      </c>
      <c r="U4" s="3323"/>
      <c r="V4" s="3331" t="s">
        <v>2469</v>
      </c>
      <c r="W4" s="3331"/>
      <c r="X4" s="2145"/>
      <c r="Y4" s="3322" t="s">
        <v>2471</v>
      </c>
      <c r="Z4" s="3323"/>
      <c r="AA4" s="3321" t="s">
        <v>2467</v>
      </c>
      <c r="AB4" s="3321" t="s">
        <v>2468</v>
      </c>
      <c r="AC4" s="3324" t="s">
        <v>2469</v>
      </c>
    </row>
    <row r="5" spans="1:29" ht="15">
      <c r="A5" s="364"/>
      <c r="B5" s="365"/>
      <c r="C5" s="3286" t="s">
        <v>2362</v>
      </c>
      <c r="D5" s="3287"/>
      <c r="E5" s="3284" t="s">
        <v>2363</v>
      </c>
      <c r="F5" s="3285"/>
      <c r="G5" s="3286" t="s">
        <v>2364</v>
      </c>
      <c r="H5" s="3287"/>
      <c r="I5" s="3286" t="s">
        <v>2365</v>
      </c>
      <c r="J5" s="3287"/>
      <c r="K5" s="567"/>
      <c r="L5" s="2945"/>
      <c r="M5" s="2946"/>
      <c r="N5" s="2946"/>
      <c r="O5" s="2946"/>
      <c r="P5" s="3329"/>
      <c r="Q5" s="3300"/>
      <c r="R5" s="3282"/>
      <c r="S5" s="3283"/>
      <c r="T5" s="3282"/>
      <c r="U5" s="3283"/>
      <c r="V5" s="3305"/>
      <c r="W5" s="3305"/>
      <c r="X5" s="1540"/>
      <c r="Y5" s="3282"/>
      <c r="Z5" s="3283"/>
      <c r="AA5" s="3276"/>
      <c r="AB5" s="3276"/>
      <c r="AC5" s="3325"/>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30"/>
      <c r="Q6" s="3302"/>
      <c r="R6" s="3282"/>
      <c r="S6" s="3283"/>
      <c r="T6" s="3303"/>
      <c r="U6" s="3304"/>
      <c r="V6" s="3305"/>
      <c r="W6" s="3305"/>
      <c r="X6" s="1540"/>
      <c r="Y6" s="3303"/>
      <c r="Z6" s="3304"/>
      <c r="AA6" s="3277"/>
      <c r="AB6" s="3277"/>
      <c r="AC6" s="3326"/>
    </row>
    <row r="7" spans="1:29" s="113" customFormat="1" ht="15.75" thickBot="1">
      <c r="A7" s="368" t="s">
        <v>2368</v>
      </c>
      <c r="B7" s="369"/>
      <c r="C7" s="370">
        <f>'数据-取费表'!B2</f>
        <v>44267</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2"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2" t="s">
        <v>2372</v>
      </c>
      <c r="Q8" s="3279"/>
      <c r="R8" s="710" t="s">
        <v>17</v>
      </c>
      <c r="S8" s="711">
        <f t="shared" si="0"/>
        <v>0</v>
      </c>
      <c r="T8" s="710" t="s">
        <v>17</v>
      </c>
      <c r="U8" s="711">
        <f t="shared" si="1"/>
        <v>0</v>
      </c>
      <c r="V8" s="710" t="s">
        <v>17</v>
      </c>
      <c r="W8" s="711">
        <f t="shared" si="2"/>
        <v>0</v>
      </c>
      <c r="X8" s="712"/>
      <c r="Y8" s="3278" t="s">
        <v>2372</v>
      </c>
      <c r="Z8" s="327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19" t="s">
        <v>2380</v>
      </c>
      <c r="Q15" s="1537" t="str">
        <f t="shared" si="6"/>
        <v>办公集聚程度</v>
      </c>
      <c r="R15" s="714" t="s">
        <v>17</v>
      </c>
      <c r="S15" s="715">
        <f t="shared" si="0"/>
        <v>100</v>
      </c>
      <c r="T15" s="714" t="s">
        <v>17</v>
      </c>
      <c r="U15" s="715">
        <f t="shared" si="1"/>
        <v>100</v>
      </c>
      <c r="V15" s="714" t="s">
        <v>17</v>
      </c>
      <c r="W15" s="715">
        <f t="shared" si="2"/>
        <v>100</v>
      </c>
      <c r="X15" s="1540"/>
      <c r="Y15" s="3312"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2149">
        <v>1</v>
      </c>
    </row>
    <row r="17" spans="1:29" ht="71.25">
      <c r="A17" s="387"/>
      <c r="B17" s="587" t="s">
        <v>1944</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20"/>
      <c r="Q22" s="1537"/>
      <c r="R22" s="714"/>
      <c r="S22" s="715"/>
      <c r="T22" s="714"/>
      <c r="U22" s="715"/>
      <c r="V22" s="714"/>
      <c r="W22" s="715"/>
      <c r="X22" s="1540"/>
      <c r="Y22" s="3313"/>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20"/>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20"/>
      <c r="Q25" s="1537" t="str">
        <f>B25</f>
        <v>毗邻道路的类型与等级</v>
      </c>
      <c r="R25" s="714" t="s">
        <v>17</v>
      </c>
      <c r="S25" s="715">
        <f>F25</f>
        <v>100</v>
      </c>
      <c r="T25" s="714" t="s">
        <v>17</v>
      </c>
      <c r="U25" s="715">
        <f>H25</f>
        <v>100</v>
      </c>
      <c r="V25" s="714" t="s">
        <v>17</v>
      </c>
      <c r="W25" s="715">
        <f>J25</f>
        <v>100</v>
      </c>
      <c r="X25" s="1540"/>
      <c r="Y25" s="331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20"/>
      <c r="Q26" s="1537"/>
      <c r="R26" s="714"/>
      <c r="S26" s="715"/>
      <c r="T26" s="714"/>
      <c r="U26" s="715"/>
      <c r="V26" s="714"/>
      <c r="W26" s="715"/>
      <c r="X26" s="1540"/>
      <c r="Y26" s="3313"/>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20"/>
      <c r="Q27" s="1537" t="str">
        <f t="shared" ref="Q27:Q47" si="11">B27</f>
        <v>楼层</v>
      </c>
      <c r="R27" s="714" t="s">
        <v>17</v>
      </c>
      <c r="S27" s="715">
        <f>F27</f>
        <v>100</v>
      </c>
      <c r="T27" s="714" t="s">
        <v>17</v>
      </c>
      <c r="U27" s="715">
        <f>H27</f>
        <v>100</v>
      </c>
      <c r="V27" s="714" t="s">
        <v>17</v>
      </c>
      <c r="W27" s="715">
        <f>J27</f>
        <v>100</v>
      </c>
      <c r="X27" s="1540"/>
      <c r="Y27" s="3313"/>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20"/>
      <c r="Q28" s="1528" t="str">
        <f t="shared" si="11"/>
        <v>朝向</v>
      </c>
      <c r="R28" s="710" t="s">
        <v>17</v>
      </c>
      <c r="S28" s="711">
        <f>F28</f>
        <v>100</v>
      </c>
      <c r="T28" s="710" t="s">
        <v>17</v>
      </c>
      <c r="U28" s="711">
        <f>H28</f>
        <v>100</v>
      </c>
      <c r="V28" s="710" t="s">
        <v>17</v>
      </c>
      <c r="W28" s="711">
        <f>J28</f>
        <v>100</v>
      </c>
      <c r="X28" s="712"/>
      <c r="Y28" s="331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20"/>
      <c r="Q29" s="1537">
        <f t="shared" si="11"/>
        <v>111</v>
      </c>
      <c r="R29" s="714" t="s">
        <v>17</v>
      </c>
      <c r="S29" s="715">
        <f t="shared" ref="S29:S47" si="12">F29</f>
        <v>100</v>
      </c>
      <c r="T29" s="714" t="s">
        <v>17</v>
      </c>
      <c r="U29" s="715">
        <f t="shared" ref="U29:U47" si="13">H29</f>
        <v>100</v>
      </c>
      <c r="V29" s="714" t="s">
        <v>17</v>
      </c>
      <c r="W29" s="715">
        <f t="shared" ref="W29:W47" si="14">J29</f>
        <v>100</v>
      </c>
      <c r="X29" s="1540"/>
      <c r="Y29" s="331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20"/>
      <c r="Q32" s="1537">
        <f t="shared" si="11"/>
        <v>111</v>
      </c>
      <c r="R32" s="714" t="s">
        <v>17</v>
      </c>
      <c r="S32" s="715">
        <f t="shared" si="12"/>
        <v>100</v>
      </c>
      <c r="T32" s="714" t="s">
        <v>17</v>
      </c>
      <c r="U32" s="715">
        <f t="shared" si="13"/>
        <v>100</v>
      </c>
      <c r="V32" s="714" t="s">
        <v>17</v>
      </c>
      <c r="W32" s="715">
        <f t="shared" si="14"/>
        <v>100</v>
      </c>
      <c r="X32" s="1540"/>
      <c r="Y32" s="3313"/>
      <c r="Z32" s="1541">
        <f t="shared" si="15"/>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4" t="s">
        <v>2385</v>
      </c>
      <c r="Q33" s="1537" t="str">
        <f t="shared" si="11"/>
        <v>建筑类型</v>
      </c>
      <c r="R33" s="714" t="s">
        <v>17</v>
      </c>
      <c r="S33" s="715">
        <f t="shared" si="12"/>
        <v>100</v>
      </c>
      <c r="T33" s="714" t="s">
        <v>17</v>
      </c>
      <c r="U33" s="715">
        <f t="shared" si="13"/>
        <v>100</v>
      </c>
      <c r="V33" s="714" t="s">
        <v>17</v>
      </c>
      <c r="W33" s="715">
        <f t="shared" si="14"/>
        <v>100</v>
      </c>
      <c r="X33" s="1540"/>
      <c r="Y33" s="3317"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5"/>
      <c r="Q34" s="716" t="str">
        <f t="shared" si="11"/>
        <v>项目建筑规模</v>
      </c>
      <c r="R34" s="717" t="s">
        <v>17</v>
      </c>
      <c r="S34" s="718" t="e">
        <f t="shared" si="12"/>
        <v>#N/A</v>
      </c>
      <c r="T34" s="717" t="s">
        <v>17</v>
      </c>
      <c r="U34" s="718" t="e">
        <f t="shared" si="13"/>
        <v>#N/A</v>
      </c>
      <c r="V34" s="717" t="s">
        <v>17</v>
      </c>
      <c r="W34" s="718" t="e">
        <f t="shared" si="14"/>
        <v>#N/A</v>
      </c>
      <c r="X34" s="719"/>
      <c r="Y34" s="3317"/>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5"/>
      <c r="Q35" s="1537" t="str">
        <f t="shared" si="11"/>
        <v>建筑结构</v>
      </c>
      <c r="R35" s="714" t="s">
        <v>17</v>
      </c>
      <c r="S35" s="715">
        <f t="shared" si="12"/>
        <v>100</v>
      </c>
      <c r="T35" s="714" t="s">
        <v>17</v>
      </c>
      <c r="U35" s="715">
        <f t="shared" si="13"/>
        <v>100</v>
      </c>
      <c r="V35" s="714" t="s">
        <v>17</v>
      </c>
      <c r="W35" s="715">
        <f t="shared" si="14"/>
        <v>100</v>
      </c>
      <c r="X35" s="1540"/>
      <c r="Y35" s="3317"/>
      <c r="Z35" s="1541" t="str">
        <f t="shared" si="15"/>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5"/>
      <c r="Q36" s="1537" t="str">
        <f t="shared" si="11"/>
        <v>公共部分装修</v>
      </c>
      <c r="R36" s="714" t="s">
        <v>17</v>
      </c>
      <c r="S36" s="715">
        <f t="shared" si="12"/>
        <v>100</v>
      </c>
      <c r="T36" s="714" t="s">
        <v>17</v>
      </c>
      <c r="U36" s="715">
        <f t="shared" si="13"/>
        <v>100</v>
      </c>
      <c r="V36" s="714" t="s">
        <v>17</v>
      </c>
      <c r="W36" s="715">
        <f t="shared" si="14"/>
        <v>100</v>
      </c>
      <c r="X36" s="1540"/>
      <c r="Y36" s="3317"/>
      <c r="Z36" s="1541" t="str">
        <f t="shared" si="15"/>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5"/>
      <c r="Q37" s="1537" t="str">
        <f t="shared" si="11"/>
        <v>成新度</v>
      </c>
      <c r="R37" s="714" t="s">
        <v>17</v>
      </c>
      <c r="S37" s="715" t="e">
        <f t="shared" si="12"/>
        <v>#N/A</v>
      </c>
      <c r="T37" s="714" t="s">
        <v>17</v>
      </c>
      <c r="U37" s="715" t="e">
        <f t="shared" si="13"/>
        <v>#N/A</v>
      </c>
      <c r="V37" s="714" t="s">
        <v>17</v>
      </c>
      <c r="W37" s="715" t="e">
        <f t="shared" si="14"/>
        <v>#N/A</v>
      </c>
      <c r="X37" s="1540"/>
      <c r="Y37" s="3317"/>
      <c r="Z37" s="1541" t="str">
        <f t="shared" si="15"/>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5"/>
      <c r="Q38" s="1528"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5" t="s">
        <v>2385</v>
      </c>
      <c r="Q39" s="1537" t="str">
        <f t="shared" si="11"/>
        <v>物业管理</v>
      </c>
      <c r="R39" s="714" t="s">
        <v>17</v>
      </c>
      <c r="S39" s="715">
        <f t="shared" si="12"/>
        <v>100</v>
      </c>
      <c r="T39" s="714" t="s">
        <v>17</v>
      </c>
      <c r="U39" s="715">
        <f t="shared" si="13"/>
        <v>100</v>
      </c>
      <c r="V39" s="714" t="s">
        <v>17</v>
      </c>
      <c r="W39" s="715">
        <f t="shared" si="14"/>
        <v>100</v>
      </c>
      <c r="X39" s="1540"/>
      <c r="Y39" s="3317" t="s">
        <v>2385</v>
      </c>
      <c r="Z39" s="1541" t="str">
        <f t="shared" si="15"/>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5"/>
      <c r="Q40" s="1537" t="str">
        <f t="shared" si="11"/>
        <v>市政基础设施</v>
      </c>
      <c r="R40" s="714" t="s">
        <v>17</v>
      </c>
      <c r="S40" s="715">
        <f t="shared" si="12"/>
        <v>100</v>
      </c>
      <c r="T40" s="714" t="s">
        <v>17</v>
      </c>
      <c r="U40" s="715">
        <f t="shared" si="13"/>
        <v>100</v>
      </c>
      <c r="V40" s="714" t="s">
        <v>17</v>
      </c>
      <c r="W40" s="715">
        <f t="shared" si="14"/>
        <v>100</v>
      </c>
      <c r="X40" s="1540"/>
      <c r="Y40" s="3317"/>
      <c r="Z40" s="1541" t="str">
        <f t="shared" si="15"/>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5"/>
      <c r="Q41" s="1537" t="str">
        <f t="shared" si="11"/>
        <v>层高</v>
      </c>
      <c r="R41" s="714" t="s">
        <v>17</v>
      </c>
      <c r="S41" s="715">
        <f t="shared" si="12"/>
        <v>100</v>
      </c>
      <c r="T41" s="714" t="s">
        <v>17</v>
      </c>
      <c r="U41" s="715">
        <f t="shared" si="13"/>
        <v>100</v>
      </c>
      <c r="V41" s="714" t="s">
        <v>17</v>
      </c>
      <c r="W41" s="715">
        <f t="shared" si="14"/>
        <v>100</v>
      </c>
      <c r="X41" s="1540"/>
      <c r="Y41" s="3317"/>
      <c r="Z41" s="1541" t="str">
        <f t="shared" si="15"/>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5"/>
      <c r="Q43" s="1537" t="str">
        <f t="shared" si="11"/>
        <v>内部装修</v>
      </c>
      <c r="R43" s="714" t="s">
        <v>17</v>
      </c>
      <c r="S43" s="715">
        <f t="shared" si="12"/>
        <v>100</v>
      </c>
      <c r="T43" s="714" t="s">
        <v>17</v>
      </c>
      <c r="U43" s="715">
        <f t="shared" si="13"/>
        <v>100</v>
      </c>
      <c r="V43" s="714" t="s">
        <v>17</v>
      </c>
      <c r="W43" s="715">
        <f t="shared" si="14"/>
        <v>100</v>
      </c>
      <c r="X43" s="1540"/>
      <c r="Y43" s="3317"/>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5"/>
      <c r="Q44" s="1537" t="str">
        <f t="shared" si="11"/>
        <v>内部装修维护情况</v>
      </c>
      <c r="R44" s="714" t="s">
        <v>17</v>
      </c>
      <c r="S44" s="715">
        <f t="shared" si="12"/>
        <v>100</v>
      </c>
      <c r="T44" s="714" t="s">
        <v>17</v>
      </c>
      <c r="U44" s="715">
        <f t="shared" si="13"/>
        <v>100</v>
      </c>
      <c r="V44" s="714" t="s">
        <v>17</v>
      </c>
      <c r="W44" s="715">
        <f t="shared" si="14"/>
        <v>100</v>
      </c>
      <c r="X44" s="1540"/>
      <c r="Y44" s="331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5"/>
      <c r="Q45" s="1528">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5"/>
      <c r="Q46" s="1537">
        <f t="shared" si="11"/>
        <v>111</v>
      </c>
      <c r="R46" s="714" t="s">
        <v>17</v>
      </c>
      <c r="S46" s="715">
        <f t="shared" si="12"/>
        <v>100</v>
      </c>
      <c r="T46" s="714" t="s">
        <v>17</v>
      </c>
      <c r="U46" s="715">
        <f t="shared" si="13"/>
        <v>100</v>
      </c>
      <c r="V46" s="714" t="s">
        <v>17</v>
      </c>
      <c r="W46" s="715">
        <f t="shared" si="14"/>
        <v>100</v>
      </c>
      <c r="X46" s="1540"/>
      <c r="Y46" s="331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6"/>
      <c r="Q47" s="1537">
        <f t="shared" si="11"/>
        <v>111</v>
      </c>
      <c r="R47" s="714" t="s">
        <v>17</v>
      </c>
      <c r="S47" s="715">
        <f t="shared" si="12"/>
        <v>100</v>
      </c>
      <c r="T47" s="714" t="s">
        <v>17</v>
      </c>
      <c r="U47" s="715">
        <f t="shared" si="13"/>
        <v>100</v>
      </c>
      <c r="V47" s="714" t="s">
        <v>17</v>
      </c>
      <c r="W47" s="715">
        <f t="shared" si="14"/>
        <v>100</v>
      </c>
      <c r="X47" s="1540"/>
      <c r="Y47" s="3318"/>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292" t="str">
        <f>A48</f>
        <v>成交单价（元/平方米）</v>
      </c>
      <c r="Q48" s="3310"/>
      <c r="R48" s="3311">
        <f>E48</f>
        <v>0</v>
      </c>
      <c r="S48" s="3311"/>
      <c r="T48" s="3311">
        <f>G48</f>
        <v>0</v>
      </c>
      <c r="U48" s="3311"/>
      <c r="V48" s="3311">
        <f>I48</f>
        <v>0</v>
      </c>
      <c r="W48" s="3311"/>
      <c r="X48" s="405"/>
      <c r="Y48" s="721"/>
      <c r="Z48" s="405"/>
      <c r="AA48" s="405"/>
      <c r="AB48" s="405"/>
      <c r="AC48" s="586"/>
    </row>
    <row r="49" spans="1:29" ht="15.75" thickBot="1">
      <c r="A49" s="445" t="s">
        <v>2489</v>
      </c>
      <c r="B49" s="446"/>
      <c r="C49" s="1322" t="e">
        <f>R50</f>
        <v>#DIV/0!</v>
      </c>
      <c r="D49" s="2539" t="s">
        <v>2878</v>
      </c>
      <c r="E49" s="1323" t="e">
        <f>R49</f>
        <v>#DIV/0!</v>
      </c>
      <c r="F49" s="2540"/>
      <c r="G49" s="1322" t="e">
        <f>T49</f>
        <v>#DIV/0!</v>
      </c>
      <c r="H49" s="2540"/>
      <c r="I49" s="1323" t="e">
        <f>V49</f>
        <v>#DIV/0!</v>
      </c>
      <c r="J49" s="2540"/>
      <c r="K49" s="2542">
        <f>F49+H49+J49</f>
        <v>0</v>
      </c>
      <c r="L49" s="2954"/>
      <c r="M49" s="2946"/>
      <c r="N49" s="2946"/>
      <c r="O49" s="2946"/>
      <c r="P49" s="3292"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6787.95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1044"/>
      <c r="M4" s="1045"/>
      <c r="N4" s="1045"/>
      <c r="O4" s="1045"/>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1044"/>
      <c r="M5" s="1045"/>
      <c r="N5" s="1045"/>
      <c r="O5" s="1045"/>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1044"/>
      <c r="M6" s="1045"/>
      <c r="N6" s="1045"/>
      <c r="O6" s="1045"/>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8" t="s">
        <v>2372</v>
      </c>
      <c r="Q8" s="3279"/>
      <c r="R8" s="710" t="s">
        <v>17</v>
      </c>
      <c r="S8" s="711">
        <f t="shared" si="0"/>
        <v>0</v>
      </c>
      <c r="T8" s="710" t="s">
        <v>17</v>
      </c>
      <c r="U8" s="711">
        <f t="shared" si="1"/>
        <v>0</v>
      </c>
      <c r="V8" s="710" t="s">
        <v>17</v>
      </c>
      <c r="W8" s="711">
        <f t="shared" si="2"/>
        <v>0</v>
      </c>
      <c r="X8" s="712"/>
      <c r="Y8" s="3278" t="s">
        <v>2372</v>
      </c>
      <c r="Z8" s="327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2380</v>
      </c>
      <c r="Q15" s="1537" t="str">
        <f t="shared" si="6"/>
        <v>产业集聚程度</v>
      </c>
      <c r="R15" s="714" t="s">
        <v>17</v>
      </c>
      <c r="S15" s="715">
        <f t="shared" si="0"/>
        <v>100</v>
      </c>
      <c r="T15" s="714" t="s">
        <v>17</v>
      </c>
      <c r="U15" s="715">
        <f t="shared" si="1"/>
        <v>100</v>
      </c>
      <c r="V15" s="714" t="s">
        <v>17</v>
      </c>
      <c r="W15" s="715">
        <f t="shared" si="2"/>
        <v>100</v>
      </c>
      <c r="X15" s="1540"/>
      <c r="Y15" s="3312"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3"/>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3"/>
      <c r="Q18" s="1537"/>
      <c r="R18" s="714"/>
      <c r="S18" s="715"/>
      <c r="T18" s="714"/>
      <c r="U18" s="715"/>
      <c r="V18" s="714"/>
      <c r="W18" s="715"/>
      <c r="X18" s="1540"/>
      <c r="Y18" s="3313"/>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3"/>
      <c r="Q20" s="1537"/>
      <c r="R20" s="714"/>
      <c r="S20" s="715"/>
      <c r="T20" s="714"/>
      <c r="U20" s="715"/>
      <c r="V20" s="714"/>
      <c r="W20" s="715"/>
      <c r="X20" s="1540"/>
      <c r="Y20" s="3313"/>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3"/>
      <c r="Q22" s="1537"/>
      <c r="R22" s="714"/>
      <c r="S22" s="715"/>
      <c r="T22" s="714"/>
      <c r="U22" s="715"/>
      <c r="V22" s="714"/>
      <c r="W22" s="715"/>
      <c r="X22" s="1540"/>
      <c r="Y22" s="3313"/>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3"/>
      <c r="Q24" s="1537"/>
      <c r="R24" s="714"/>
      <c r="S24" s="715"/>
      <c r="T24" s="714"/>
      <c r="U24" s="715"/>
      <c r="V24" s="714"/>
      <c r="W24" s="715"/>
      <c r="X24" s="1540"/>
      <c r="Y24" s="331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7">
        <f>B25</f>
        <v>111</v>
      </c>
      <c r="R25" s="714" t="s">
        <v>17</v>
      </c>
      <c r="S25" s="715">
        <f>F25</f>
        <v>100</v>
      </c>
      <c r="T25" s="714" t="s">
        <v>17</v>
      </c>
      <c r="U25" s="715">
        <f>H25</f>
        <v>100</v>
      </c>
      <c r="V25" s="714" t="s">
        <v>17</v>
      </c>
      <c r="W25" s="715">
        <f>J25</f>
        <v>100</v>
      </c>
      <c r="X25" s="1540"/>
      <c r="Y25" s="331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7">
        <f t="shared" ref="Q26:Q40" si="11">B26</f>
        <v>111</v>
      </c>
      <c r="R26" s="714" t="s">
        <v>17</v>
      </c>
      <c r="S26" s="715">
        <f>F26</f>
        <v>100</v>
      </c>
      <c r="T26" s="714" t="s">
        <v>17</v>
      </c>
      <c r="U26" s="715">
        <f>H26</f>
        <v>100</v>
      </c>
      <c r="V26" s="714" t="s">
        <v>17</v>
      </c>
      <c r="W26" s="715">
        <f>J26</f>
        <v>100</v>
      </c>
      <c r="X26" s="1540"/>
      <c r="Y26" s="331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8">
        <f t="shared" si="11"/>
        <v>111</v>
      </c>
      <c r="R27" s="710" t="s">
        <v>17</v>
      </c>
      <c r="S27" s="711">
        <f>F27</f>
        <v>100</v>
      </c>
      <c r="T27" s="710" t="s">
        <v>17</v>
      </c>
      <c r="U27" s="711">
        <f>H27</f>
        <v>100</v>
      </c>
      <c r="V27" s="710" t="s">
        <v>17</v>
      </c>
      <c r="W27" s="711">
        <f>J27</f>
        <v>100</v>
      </c>
      <c r="X27" s="712"/>
      <c r="Y27" s="331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7">
        <f t="shared" si="11"/>
        <v>111</v>
      </c>
      <c r="R28" s="714" t="s">
        <v>17</v>
      </c>
      <c r="S28" s="715">
        <f t="shared" ref="S28:S40" si="12">F28</f>
        <v>100</v>
      </c>
      <c r="T28" s="714" t="s">
        <v>17</v>
      </c>
      <c r="U28" s="715">
        <f t="shared" ref="U28:U40" si="13">H28</f>
        <v>100</v>
      </c>
      <c r="V28" s="714" t="s">
        <v>17</v>
      </c>
      <c r="W28" s="715">
        <f t="shared" ref="W28:W40" si="14">J28</f>
        <v>100</v>
      </c>
      <c r="X28" s="1540"/>
      <c r="Y28" s="3313"/>
      <c r="Z28" s="1541">
        <f t="shared" ref="Z28:Z40" si="15">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36" t="s">
        <v>2385</v>
      </c>
      <c r="Q29" s="1537" t="str">
        <f t="shared" si="11"/>
        <v>建筑类型</v>
      </c>
      <c r="R29" s="714" t="s">
        <v>17</v>
      </c>
      <c r="S29" s="715">
        <f t="shared" si="12"/>
        <v>100</v>
      </c>
      <c r="T29" s="714" t="s">
        <v>17</v>
      </c>
      <c r="U29" s="715">
        <f t="shared" si="13"/>
        <v>100</v>
      </c>
      <c r="V29" s="714" t="s">
        <v>17</v>
      </c>
      <c r="W29" s="715">
        <f t="shared" si="14"/>
        <v>100</v>
      </c>
      <c r="X29" s="1540"/>
      <c r="Y29" s="3317"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7" t="str">
        <f t="shared" si="11"/>
        <v>建筑结构</v>
      </c>
      <c r="R31" s="714" t="s">
        <v>17</v>
      </c>
      <c r="S31" s="715">
        <f t="shared" si="12"/>
        <v>100</v>
      </c>
      <c r="T31" s="714" t="s">
        <v>17</v>
      </c>
      <c r="U31" s="715">
        <f t="shared" si="13"/>
        <v>100</v>
      </c>
      <c r="V31" s="714" t="s">
        <v>17</v>
      </c>
      <c r="W31" s="715">
        <f t="shared" si="14"/>
        <v>100</v>
      </c>
      <c r="X31" s="1540"/>
      <c r="Y31" s="3317"/>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7" t="str">
        <f t="shared" si="11"/>
        <v>公共部分装修</v>
      </c>
      <c r="R32" s="714" t="s">
        <v>17</v>
      </c>
      <c r="S32" s="715">
        <f t="shared" si="12"/>
        <v>100</v>
      </c>
      <c r="T32" s="714" t="s">
        <v>17</v>
      </c>
      <c r="U32" s="715">
        <f t="shared" si="13"/>
        <v>100</v>
      </c>
      <c r="V32" s="714" t="s">
        <v>17</v>
      </c>
      <c r="W32" s="715">
        <f t="shared" si="14"/>
        <v>100</v>
      </c>
      <c r="X32" s="1540"/>
      <c r="Y32" s="3317"/>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7" t="str">
        <f t="shared" si="11"/>
        <v>成新度</v>
      </c>
      <c r="R33" s="714" t="s">
        <v>17</v>
      </c>
      <c r="S33" s="715" t="e">
        <f t="shared" si="12"/>
        <v>#N/A</v>
      </c>
      <c r="T33" s="714" t="s">
        <v>17</v>
      </c>
      <c r="U33" s="715" t="e">
        <f t="shared" si="13"/>
        <v>#N/A</v>
      </c>
      <c r="V33" s="714" t="s">
        <v>17</v>
      </c>
      <c r="W33" s="715" t="e">
        <f t="shared" si="14"/>
        <v>#N/A</v>
      </c>
      <c r="X33" s="1540"/>
      <c r="Y33" s="3317"/>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8"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2385</v>
      </c>
      <c r="Q35" s="1537" t="str">
        <f t="shared" si="11"/>
        <v>市政基础设施</v>
      </c>
      <c r="R35" s="714" t="s">
        <v>17</v>
      </c>
      <c r="S35" s="715">
        <f t="shared" si="12"/>
        <v>100</v>
      </c>
      <c r="T35" s="714" t="s">
        <v>17</v>
      </c>
      <c r="U35" s="715">
        <f t="shared" si="13"/>
        <v>100</v>
      </c>
      <c r="V35" s="714" t="s">
        <v>17</v>
      </c>
      <c r="W35" s="715">
        <f t="shared" si="14"/>
        <v>100</v>
      </c>
      <c r="X35" s="1540"/>
      <c r="Y35" s="3317"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7" t="str">
        <f t="shared" si="11"/>
        <v>内部装修</v>
      </c>
      <c r="R36" s="714" t="s">
        <v>17</v>
      </c>
      <c r="S36" s="715">
        <f t="shared" si="12"/>
        <v>100</v>
      </c>
      <c r="T36" s="714" t="s">
        <v>17</v>
      </c>
      <c r="U36" s="715">
        <f t="shared" si="13"/>
        <v>100</v>
      </c>
      <c r="V36" s="714" t="s">
        <v>17</v>
      </c>
      <c r="W36" s="715">
        <f t="shared" si="14"/>
        <v>100</v>
      </c>
      <c r="X36" s="1540"/>
      <c r="Y36" s="3317"/>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7" t="str">
        <f t="shared" si="11"/>
        <v>内部装修状况</v>
      </c>
      <c r="R37" s="714" t="s">
        <v>17</v>
      </c>
      <c r="S37" s="715">
        <f t="shared" si="12"/>
        <v>100</v>
      </c>
      <c r="T37" s="714" t="s">
        <v>17</v>
      </c>
      <c r="U37" s="715">
        <f t="shared" si="13"/>
        <v>100</v>
      </c>
      <c r="V37" s="714" t="s">
        <v>17</v>
      </c>
      <c r="W37" s="715">
        <f t="shared" si="14"/>
        <v>100</v>
      </c>
      <c r="X37" s="1540"/>
      <c r="Y37" s="331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7">
        <f t="shared" si="11"/>
        <v>111</v>
      </c>
      <c r="R39" s="714" t="s">
        <v>17</v>
      </c>
      <c r="S39" s="715">
        <f t="shared" si="12"/>
        <v>100</v>
      </c>
      <c r="T39" s="714" t="s">
        <v>17</v>
      </c>
      <c r="U39" s="715">
        <f t="shared" si="13"/>
        <v>100</v>
      </c>
      <c r="V39" s="714" t="s">
        <v>17</v>
      </c>
      <c r="W39" s="715">
        <f t="shared" si="14"/>
        <v>100</v>
      </c>
      <c r="X39" s="1540"/>
      <c r="Y39" s="331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7">
        <f t="shared" si="11"/>
        <v>111</v>
      </c>
      <c r="R40" s="714" t="s">
        <v>17</v>
      </c>
      <c r="S40" s="715">
        <f t="shared" si="12"/>
        <v>100</v>
      </c>
      <c r="T40" s="714" t="s">
        <v>17</v>
      </c>
      <c r="U40" s="715">
        <f t="shared" si="13"/>
        <v>100</v>
      </c>
      <c r="V40" s="714" t="s">
        <v>17</v>
      </c>
      <c r="W40" s="715">
        <f t="shared" si="14"/>
        <v>100</v>
      </c>
      <c r="X40" s="1540"/>
      <c r="Y40" s="3318"/>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10" t="str">
        <f>A41</f>
        <v>成交单价（元/平方米）</v>
      </c>
      <c r="Q41" s="3310"/>
      <c r="R41" s="3311">
        <f>E41</f>
        <v>0</v>
      </c>
      <c r="S41" s="3311"/>
      <c r="T41" s="3311">
        <f>G41</f>
        <v>0</v>
      </c>
      <c r="U41" s="3311"/>
      <c r="V41" s="3311">
        <f>I41</f>
        <v>0</v>
      </c>
      <c r="W41" s="3311"/>
      <c r="X41" s="699"/>
      <c r="Y41" s="721"/>
      <c r="Z41" s="699"/>
      <c r="AA41" s="699"/>
      <c r="AB41" s="699"/>
      <c r="AC41" s="699"/>
    </row>
    <row r="42" spans="1:29" ht="15.75" thickBot="1">
      <c r="A42" s="445" t="s">
        <v>2489</v>
      </c>
      <c r="B42" s="446"/>
      <c r="C42" s="1322" t="e">
        <f>R43</f>
        <v>#DIV/0!</v>
      </c>
      <c r="D42" s="2539" t="s">
        <v>2878</v>
      </c>
      <c r="E42" s="1323" t="e">
        <f>R42</f>
        <v>#DIV/0!</v>
      </c>
      <c r="F42" s="2540"/>
      <c r="G42" s="1322" t="e">
        <f>T42</f>
        <v>#DIV/0!</v>
      </c>
      <c r="H42" s="2540"/>
      <c r="I42" s="1323" t="e">
        <f>V42</f>
        <v>#DIV/0!</v>
      </c>
      <c r="J42" s="2540"/>
      <c r="K42" s="2542">
        <f>F42+H42+J42</f>
        <v>0</v>
      </c>
      <c r="L42" s="1057"/>
      <c r="M42" s="1058"/>
      <c r="N42" s="1045"/>
      <c r="O42" s="1058"/>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07" t="str">
        <f>A43</f>
        <v>估价对象XX用房的比较价值（楼面单价，元/平方米）</v>
      </c>
      <c r="Q43" s="3308"/>
      <c r="R43" s="3309" t="e">
        <f>IF(F1="售价",ROUND(IF(D42="简单平均",AVERAGE(R42:V42),R42*F42+T42*H42+V42*J42),0),ROUND(IF(D42="简单平均",AVERAGE(R42:V42),R42*F42+T42*H42+V42*J42),1))</f>
        <v>#DIV/0!</v>
      </c>
      <c r="S43" s="3309"/>
      <c r="T43" s="3309"/>
      <c r="U43" s="3309"/>
      <c r="V43" s="3309"/>
      <c r="W43" s="330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受贵公司委托，我公司对北京市海淀区四道口11号房地产抵押价值进行了预评估。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估价对象为北京市海淀区四道口11号房地产，为所有。根据《国有土地使用证》[]，估价对象（分摊）出让国有建设用地使用权面积为1000平方米，建筑面积为6787.95平方米。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估价对象为北京市海淀区四道口11号房地产,属开发建设的，该项目尚在开发建设中。根据《国有土地使用证》[]，估价对象（分摊）出让国有建设用地使用权面积为1000平方米，规划建筑面积为6787.95平方米。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海淀区四道口11号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2021年3月12日（评估专业人员实地查勘之日）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44267</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78" t="s">
        <v>2369</v>
      </c>
      <c r="Q7" s="3306"/>
      <c r="R7" s="710" t="s">
        <v>17</v>
      </c>
      <c r="S7" s="711">
        <f t="shared" ref="S7:S14" si="0">F7</f>
        <v>0</v>
      </c>
      <c r="T7" s="710" t="s">
        <v>17</v>
      </c>
      <c r="U7" s="711">
        <f t="shared" ref="U7:U14" si="1">H7</f>
        <v>0</v>
      </c>
      <c r="V7" s="710" t="s">
        <v>17</v>
      </c>
      <c r="W7" s="711">
        <f t="shared" ref="W7:W14"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0" t="s">
        <v>2375</v>
      </c>
      <c r="Q9" s="1528" t="str">
        <f t="shared" ref="Q9:Q14" si="6">B9</f>
        <v>用途</v>
      </c>
      <c r="R9" s="710" t="s">
        <v>17</v>
      </c>
      <c r="S9" s="711">
        <f t="shared" si="0"/>
        <v>100</v>
      </c>
      <c r="T9" s="710" t="s">
        <v>17</v>
      </c>
      <c r="U9" s="711">
        <f t="shared" si="1"/>
        <v>100</v>
      </c>
      <c r="V9" s="710" t="s">
        <v>17</v>
      </c>
      <c r="W9" s="711">
        <f t="shared" si="2"/>
        <v>100</v>
      </c>
      <c r="X9" s="712"/>
      <c r="Y9" s="322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2" t="s">
        <v>2380</v>
      </c>
      <c r="Q14" s="1537" t="str">
        <f t="shared" si="6"/>
        <v>交通便捷度</v>
      </c>
      <c r="R14" s="714" t="s">
        <v>17</v>
      </c>
      <c r="S14" s="715">
        <f t="shared" si="0"/>
        <v>100</v>
      </c>
      <c r="T14" s="714" t="s">
        <v>17</v>
      </c>
      <c r="U14" s="715">
        <f t="shared" si="1"/>
        <v>100</v>
      </c>
      <c r="V14" s="714" t="s">
        <v>17</v>
      </c>
      <c r="W14" s="715">
        <f t="shared" si="2"/>
        <v>100</v>
      </c>
      <c r="X14" s="1540"/>
      <c r="Y14" s="3312"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3"/>
      <c r="Q15" s="1537"/>
      <c r="R15" s="714"/>
      <c r="S15" s="715"/>
      <c r="T15" s="714"/>
      <c r="U15" s="715"/>
      <c r="V15" s="714"/>
      <c r="W15" s="715"/>
      <c r="X15" s="1540"/>
      <c r="Y15" s="3313"/>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3"/>
      <c r="Q17" s="1537"/>
      <c r="R17" s="714"/>
      <c r="S17" s="715"/>
      <c r="T17" s="714"/>
      <c r="U17" s="715"/>
      <c r="V17" s="714"/>
      <c r="W17" s="715"/>
      <c r="X17" s="1540"/>
      <c r="Y17" s="3313"/>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13"/>
      <c r="Q19" s="1537"/>
      <c r="R19" s="714"/>
      <c r="S19" s="715"/>
      <c r="T19" s="714"/>
      <c r="U19" s="715"/>
      <c r="V19" s="714"/>
      <c r="W19" s="715"/>
      <c r="X19" s="1540"/>
      <c r="Y19" s="3313"/>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3"/>
      <c r="Q21" s="1537"/>
      <c r="R21" s="714"/>
      <c r="S21" s="715"/>
      <c r="T21" s="714"/>
      <c r="U21" s="715"/>
      <c r="V21" s="714"/>
      <c r="W21" s="715"/>
      <c r="X21" s="1540"/>
      <c r="Y21" s="3313"/>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3"/>
      <c r="Q24" s="1537">
        <f t="shared" ref="Q24:Q36"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36"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7"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7"/>
      <c r="Q28" s="1537" t="str">
        <f t="shared" si="11"/>
        <v>公共部分装修</v>
      </c>
      <c r="R28" s="714" t="s">
        <v>17</v>
      </c>
      <c r="S28" s="715">
        <f t="shared" si="12"/>
        <v>100</v>
      </c>
      <c r="T28" s="714" t="s">
        <v>17</v>
      </c>
      <c r="U28" s="715">
        <f t="shared" si="13"/>
        <v>100</v>
      </c>
      <c r="V28" s="714" t="s">
        <v>17</v>
      </c>
      <c r="W28" s="715">
        <f t="shared" si="14"/>
        <v>100</v>
      </c>
      <c r="X28" s="1540"/>
      <c r="Y28" s="3317"/>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7"/>
      <c r="Q29" s="1537" t="str">
        <f t="shared" si="11"/>
        <v>成新率</v>
      </c>
      <c r="R29" s="714" t="s">
        <v>17</v>
      </c>
      <c r="S29" s="715" t="e">
        <f t="shared" si="12"/>
        <v>#N/A</v>
      </c>
      <c r="T29" s="714" t="s">
        <v>17</v>
      </c>
      <c r="U29" s="715" t="e">
        <f t="shared" si="13"/>
        <v>#N/A</v>
      </c>
      <c r="V29" s="714" t="s">
        <v>17</v>
      </c>
      <c r="W29" s="715" t="e">
        <f t="shared" si="14"/>
        <v>#N/A</v>
      </c>
      <c r="X29" s="1540"/>
      <c r="Y29" s="3317"/>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7"/>
      <c r="Q30" s="1537" t="str">
        <f t="shared" si="11"/>
        <v>物业等级</v>
      </c>
      <c r="R30" s="714" t="s">
        <v>17</v>
      </c>
      <c r="S30" s="715">
        <f t="shared" si="12"/>
        <v>100</v>
      </c>
      <c r="T30" s="714" t="s">
        <v>17</v>
      </c>
      <c r="U30" s="715">
        <f t="shared" si="13"/>
        <v>100</v>
      </c>
      <c r="V30" s="714" t="s">
        <v>17</v>
      </c>
      <c r="W30" s="715">
        <f t="shared" si="14"/>
        <v>100</v>
      </c>
      <c r="X30" s="1540"/>
      <c r="Y30" s="3317"/>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7"/>
      <c r="Q31" s="1528"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7" t="s">
        <v>2385</v>
      </c>
      <c r="Q32" s="1537" t="str">
        <f t="shared" si="11"/>
        <v>车位类型</v>
      </c>
      <c r="R32" s="714" t="s">
        <v>17</v>
      </c>
      <c r="S32" s="715">
        <f t="shared" si="12"/>
        <v>100</v>
      </c>
      <c r="T32" s="714" t="s">
        <v>17</v>
      </c>
      <c r="U32" s="715">
        <f t="shared" si="13"/>
        <v>100</v>
      </c>
      <c r="V32" s="714" t="s">
        <v>17</v>
      </c>
      <c r="W32" s="715">
        <f t="shared" si="14"/>
        <v>100</v>
      </c>
      <c r="X32" s="1540"/>
      <c r="Y32" s="3317"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7"/>
      <c r="Q33" s="1537" t="str">
        <f t="shared" si="11"/>
        <v>是否直接入户</v>
      </c>
      <c r="R33" s="714" t="s">
        <v>17</v>
      </c>
      <c r="S33" s="715">
        <f t="shared" si="12"/>
        <v>100</v>
      </c>
      <c r="T33" s="714" t="s">
        <v>17</v>
      </c>
      <c r="U33" s="715">
        <f t="shared" si="13"/>
        <v>100</v>
      </c>
      <c r="V33" s="714" t="s">
        <v>17</v>
      </c>
      <c r="W33" s="715">
        <f t="shared" si="14"/>
        <v>100</v>
      </c>
      <c r="X33" s="1540"/>
      <c r="Y33" s="331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7"/>
      <c r="Q36" s="1537">
        <f t="shared" si="11"/>
        <v>111</v>
      </c>
      <c r="R36" s="714" t="s">
        <v>17</v>
      </c>
      <c r="S36" s="715">
        <f t="shared" si="12"/>
        <v>100</v>
      </c>
      <c r="T36" s="714" t="s">
        <v>17</v>
      </c>
      <c r="U36" s="715">
        <f t="shared" si="13"/>
        <v>100</v>
      </c>
      <c r="V36" s="714" t="s">
        <v>17</v>
      </c>
      <c r="W36" s="715">
        <f t="shared" si="14"/>
        <v>100</v>
      </c>
      <c r="X36" s="1540"/>
      <c r="Y36" s="3317"/>
      <c r="Z36" s="1541">
        <f t="shared" si="15"/>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10" t="str">
        <f>A37</f>
        <v>成交单价</v>
      </c>
      <c r="Q37" s="3310"/>
      <c r="R37" s="3311">
        <f>E37</f>
        <v>0</v>
      </c>
      <c r="S37" s="3311"/>
      <c r="T37" s="3311">
        <f>G37</f>
        <v>0</v>
      </c>
      <c r="U37" s="3311"/>
      <c r="V37" s="3311">
        <f>I37</f>
        <v>0</v>
      </c>
      <c r="W37" s="3311"/>
      <c r="X37" s="699"/>
      <c r="Y37" s="721"/>
      <c r="Z37" s="699"/>
      <c r="AA37" s="699"/>
      <c r="AB37" s="699"/>
      <c r="AC37" s="699"/>
    </row>
    <row r="38" spans="1:29" ht="15.75" thickBot="1">
      <c r="A38" s="445" t="s">
        <v>2542</v>
      </c>
      <c r="B38" s="446" t="str">
        <f>B37</f>
        <v>元/车位</v>
      </c>
      <c r="C38" s="1322" t="e">
        <f>R39</f>
        <v>#DIV/0!</v>
      </c>
      <c r="D38" s="2539" t="s">
        <v>2878</v>
      </c>
      <c r="E38" s="1323" t="e">
        <f>R38</f>
        <v>#DIV/0!</v>
      </c>
      <c r="F38" s="2540"/>
      <c r="G38" s="1322" t="e">
        <f>T38</f>
        <v>#DIV/0!</v>
      </c>
      <c r="H38" s="2540"/>
      <c r="I38" s="1323" t="e">
        <f>V38</f>
        <v>#DIV/0!</v>
      </c>
      <c r="J38" s="2540"/>
      <c r="K38" s="2542">
        <f>F38+H38+J38</f>
        <v>0</v>
      </c>
      <c r="L38" s="2954"/>
      <c r="M38" s="2955"/>
      <c r="N38" s="2955"/>
      <c r="O38" s="2955"/>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07" t="str">
        <f>A39</f>
        <v>估价对象XX用房的比较价值（楼面单价，元/平方米）</v>
      </c>
      <c r="Q39" s="3308"/>
      <c r="R39" s="3337" t="e">
        <f>IF(F1="售价",ROUND(IF(D38="简单平均",AVERAGE(R38:W38),R38*F38+T38*H38+V38*J38),0),ROUND(IF(D38="简单平均",AVERAGE(R38:V38),R38*F38+T38*H38+V38*J38),1))</f>
        <v>#DIV/0!</v>
      </c>
      <c r="S39" s="3337"/>
      <c r="T39" s="3337"/>
      <c r="U39" s="3337"/>
      <c r="V39" s="3337"/>
      <c r="W39" s="333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44267</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78" t="s">
        <v>2369</v>
      </c>
      <c r="Q7" s="3306"/>
      <c r="R7" s="710" t="s">
        <v>17</v>
      </c>
      <c r="S7" s="711">
        <f t="shared" ref="S7:S14" si="0">F7</f>
        <v>0</v>
      </c>
      <c r="T7" s="710" t="s">
        <v>17</v>
      </c>
      <c r="U7" s="711">
        <f t="shared" ref="U7:U14" si="1">H7</f>
        <v>0</v>
      </c>
      <c r="V7" s="710" t="s">
        <v>17</v>
      </c>
      <c r="W7" s="711">
        <f t="shared" ref="W7:W14"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0" t="s">
        <v>2375</v>
      </c>
      <c r="Q9" s="1528" t="str">
        <f t="shared" ref="Q9:Q14" si="6">B9</f>
        <v>用途</v>
      </c>
      <c r="R9" s="710" t="s">
        <v>17</v>
      </c>
      <c r="S9" s="711">
        <f t="shared" si="0"/>
        <v>100</v>
      </c>
      <c r="T9" s="710" t="s">
        <v>17</v>
      </c>
      <c r="U9" s="711">
        <f t="shared" si="1"/>
        <v>100</v>
      </c>
      <c r="V9" s="710" t="s">
        <v>17</v>
      </c>
      <c r="W9" s="711">
        <f t="shared" si="2"/>
        <v>100</v>
      </c>
      <c r="X9" s="712"/>
      <c r="Y9" s="322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2" t="s">
        <v>2380</v>
      </c>
      <c r="Q14" s="1537" t="str">
        <f t="shared" si="6"/>
        <v>交通便捷度</v>
      </c>
      <c r="R14" s="714" t="s">
        <v>17</v>
      </c>
      <c r="S14" s="715">
        <f t="shared" si="0"/>
        <v>100</v>
      </c>
      <c r="T14" s="714" t="s">
        <v>17</v>
      </c>
      <c r="U14" s="715">
        <f t="shared" si="1"/>
        <v>100</v>
      </c>
      <c r="V14" s="714" t="s">
        <v>17</v>
      </c>
      <c r="W14" s="715">
        <f t="shared" si="2"/>
        <v>100</v>
      </c>
      <c r="X14" s="1540"/>
      <c r="Y14" s="3312"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3"/>
      <c r="Q15" s="1537"/>
      <c r="R15" s="714"/>
      <c r="S15" s="715"/>
      <c r="T15" s="714"/>
      <c r="U15" s="715"/>
      <c r="V15" s="714"/>
      <c r="W15" s="715"/>
      <c r="X15" s="1540"/>
      <c r="Y15" s="3313"/>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3"/>
      <c r="Q17" s="1537"/>
      <c r="R17" s="714"/>
      <c r="S17" s="715"/>
      <c r="T17" s="714"/>
      <c r="U17" s="715"/>
      <c r="V17" s="714"/>
      <c r="W17" s="715"/>
      <c r="X17" s="1540"/>
      <c r="Y17" s="3313"/>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13"/>
      <c r="Q19" s="1537"/>
      <c r="R19" s="714"/>
      <c r="S19" s="715"/>
      <c r="T19" s="714"/>
      <c r="U19" s="715"/>
      <c r="V19" s="714"/>
      <c r="W19" s="715"/>
      <c r="X19" s="1540"/>
      <c r="Y19" s="3313"/>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3"/>
      <c r="Q21" s="1537"/>
      <c r="R21" s="714"/>
      <c r="S21" s="715"/>
      <c r="T21" s="714"/>
      <c r="U21" s="715"/>
      <c r="V21" s="714"/>
      <c r="W21" s="715"/>
      <c r="X21" s="1540"/>
      <c r="Y21" s="3313"/>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3"/>
      <c r="Q24" s="1537">
        <f t="shared" ref="Q24:Q34"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36"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7"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7"/>
      <c r="Q28" s="1537" t="str">
        <f t="shared" si="11"/>
        <v>物业等级</v>
      </c>
      <c r="R28" s="714" t="s">
        <v>17</v>
      </c>
      <c r="S28" s="715">
        <f t="shared" si="12"/>
        <v>100</v>
      </c>
      <c r="T28" s="714" t="s">
        <v>17</v>
      </c>
      <c r="U28" s="715">
        <f t="shared" si="13"/>
        <v>100</v>
      </c>
      <c r="V28" s="714" t="s">
        <v>17</v>
      </c>
      <c r="W28" s="715">
        <f t="shared" si="14"/>
        <v>100</v>
      </c>
      <c r="X28" s="1540"/>
      <c r="Y28" s="3317"/>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7"/>
      <c r="Q29" s="1537" t="str">
        <f t="shared" si="11"/>
        <v>有无电梯</v>
      </c>
      <c r="R29" s="714" t="s">
        <v>17</v>
      </c>
      <c r="S29" s="715">
        <f t="shared" si="12"/>
        <v>100</v>
      </c>
      <c r="T29" s="714" t="s">
        <v>17</v>
      </c>
      <c r="U29" s="715">
        <f t="shared" si="13"/>
        <v>100</v>
      </c>
      <c r="V29" s="714" t="s">
        <v>17</v>
      </c>
      <c r="W29" s="715">
        <f t="shared" si="14"/>
        <v>100</v>
      </c>
      <c r="X29" s="1540"/>
      <c r="Y29" s="3317"/>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7"/>
      <c r="Q30" s="1537" t="str">
        <f t="shared" si="11"/>
        <v>建筑面积</v>
      </c>
      <c r="R30" s="714" t="s">
        <v>17</v>
      </c>
      <c r="S30" s="715" t="e">
        <f t="shared" si="12"/>
        <v>#N/A</v>
      </c>
      <c r="T30" s="714" t="s">
        <v>17</v>
      </c>
      <c r="U30" s="715" t="e">
        <f t="shared" si="13"/>
        <v>#N/A</v>
      </c>
      <c r="V30" s="714" t="s">
        <v>17</v>
      </c>
      <c r="W30" s="715" t="e">
        <f t="shared" si="14"/>
        <v>#N/A</v>
      </c>
      <c r="X30" s="1540"/>
      <c r="Y30" s="3317"/>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7"/>
      <c r="Q31" s="1528"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7" t="s">
        <v>2385</v>
      </c>
      <c r="Q32" s="1537">
        <f t="shared" si="11"/>
        <v>111</v>
      </c>
      <c r="R32" s="714" t="s">
        <v>17</v>
      </c>
      <c r="S32" s="715">
        <f t="shared" si="12"/>
        <v>100</v>
      </c>
      <c r="T32" s="714" t="s">
        <v>17</v>
      </c>
      <c r="U32" s="715">
        <f t="shared" si="13"/>
        <v>100</v>
      </c>
      <c r="V32" s="714" t="s">
        <v>17</v>
      </c>
      <c r="W32" s="715">
        <f t="shared" si="14"/>
        <v>100</v>
      </c>
      <c r="X32" s="1540"/>
      <c r="Y32" s="3317"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7"/>
      <c r="Q33" s="1537">
        <f t="shared" si="11"/>
        <v>111</v>
      </c>
      <c r="R33" s="714" t="s">
        <v>17</v>
      </c>
      <c r="S33" s="715">
        <f t="shared" si="12"/>
        <v>100</v>
      </c>
      <c r="T33" s="714" t="s">
        <v>17</v>
      </c>
      <c r="U33" s="715">
        <f t="shared" si="13"/>
        <v>100</v>
      </c>
      <c r="V33" s="714" t="s">
        <v>17</v>
      </c>
      <c r="W33" s="715">
        <f t="shared" si="14"/>
        <v>100</v>
      </c>
      <c r="X33" s="1540"/>
      <c r="Y33" s="331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10" t="str">
        <f>A35</f>
        <v>成交单价（元/平方米）</v>
      </c>
      <c r="Q35" s="3310"/>
      <c r="R35" s="3311">
        <f>E35</f>
        <v>0</v>
      </c>
      <c r="S35" s="3311"/>
      <c r="T35" s="3311">
        <f>G35</f>
        <v>0</v>
      </c>
      <c r="U35" s="3311"/>
      <c r="V35" s="3311">
        <f>I35</f>
        <v>0</v>
      </c>
      <c r="W35" s="3311"/>
      <c r="X35" s="699"/>
      <c r="Y35" s="721"/>
      <c r="Z35" s="699"/>
      <c r="AA35" s="699"/>
      <c r="AB35" s="699"/>
      <c r="AC35" s="699"/>
    </row>
    <row r="36" spans="1:30" ht="15.75" thickBot="1">
      <c r="A36" s="445" t="s">
        <v>2489</v>
      </c>
      <c r="B36" s="446"/>
      <c r="C36" s="1322" t="e">
        <f>R37</f>
        <v>#DIV/0!</v>
      </c>
      <c r="D36" s="2539" t="s">
        <v>2878</v>
      </c>
      <c r="E36" s="1323" t="e">
        <f>R36</f>
        <v>#DIV/0!</v>
      </c>
      <c r="F36" s="2540"/>
      <c r="G36" s="1322" t="e">
        <f>T36</f>
        <v>#DIV/0!</v>
      </c>
      <c r="H36" s="2540"/>
      <c r="I36" s="1323" t="e">
        <f>V36</f>
        <v>#DIV/0!</v>
      </c>
      <c r="J36" s="2540"/>
      <c r="K36" s="2542">
        <f>F36+H36+J36</f>
        <v>0</v>
      </c>
      <c r="L36" s="2954"/>
      <c r="M36" s="2955"/>
      <c r="N36" s="2946"/>
      <c r="O36" s="2955"/>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07" t="str">
        <f>A37</f>
        <v>估价对象XX用房的比较价值（楼面单价，元/平方米）</v>
      </c>
      <c r="Q37" s="3308"/>
      <c r="R37" s="3337" t="e">
        <f>IF(F1="售价",ROUND(IF(D36="简单平均",AVERAGE(R36:W36),R36*F36+T36*H36+V36*J36),0),ROUND(IF(D36="简单平均",AVERAGE(R36:V36),R36*F36+T36*H36+V36*J36),1))</f>
        <v>#DIV/0!</v>
      </c>
      <c r="S37" s="3337"/>
      <c r="T37" s="3337"/>
      <c r="U37" s="3337"/>
      <c r="V37" s="3337"/>
      <c r="W37" s="333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30"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30"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30" s="113" customFormat="1" ht="15.75" thickBot="1">
      <c r="A7" s="368" t="s">
        <v>2368</v>
      </c>
      <c r="B7" s="369"/>
      <c r="C7" s="370">
        <f>'数据-取费表'!B2</f>
        <v>44267</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149</v>
      </c>
      <c r="G10" s="422"/>
      <c r="H10" s="132">
        <f>ROUND(100/'数据-取费表'!G16,0)</f>
        <v>149</v>
      </c>
      <c r="I10" s="422"/>
      <c r="J10" s="132">
        <f>ROUND(100/'数据-取费表'!G16,0)</f>
        <v>149</v>
      </c>
      <c r="K10" s="628"/>
      <c r="L10" s="2949"/>
      <c r="M10" s="2950"/>
      <c r="N10" s="2950"/>
      <c r="O10" s="3003"/>
      <c r="P10" s="3310"/>
      <c r="Q10" s="1528" t="str">
        <f t="shared" si="6"/>
        <v>土地使用年限（年）</v>
      </c>
      <c r="R10" s="710" t="s">
        <v>17</v>
      </c>
      <c r="S10" s="711">
        <f t="shared" si="0"/>
        <v>149</v>
      </c>
      <c r="T10" s="710" t="s">
        <v>17</v>
      </c>
      <c r="U10" s="711">
        <f t="shared" si="1"/>
        <v>149</v>
      </c>
      <c r="V10" s="710" t="s">
        <v>17</v>
      </c>
      <c r="W10" s="711">
        <f t="shared" si="2"/>
        <v>149</v>
      </c>
      <c r="X10" s="712"/>
      <c r="Y10" s="3220"/>
      <c r="Z10" s="55" t="str">
        <f t="shared" si="7"/>
        <v>土地使用年限（年）</v>
      </c>
      <c r="AA10" s="713">
        <f t="shared" si="3"/>
        <v>0.67114093959731547</v>
      </c>
      <c r="AB10" s="713">
        <f t="shared" si="4"/>
        <v>0.67114093959731547</v>
      </c>
      <c r="AC10" s="713">
        <f t="shared" si="5"/>
        <v>0.67114093959731547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0"/>
      <c r="Q12" s="1528" t="str">
        <f t="shared" si="6"/>
        <v>配建</v>
      </c>
      <c r="R12" s="710" t="s">
        <v>17</v>
      </c>
      <c r="S12" s="711">
        <f t="shared" si="0"/>
        <v>100</v>
      </c>
      <c r="T12" s="710" t="s">
        <v>17</v>
      </c>
      <c r="U12" s="711">
        <f t="shared" si="1"/>
        <v>100</v>
      </c>
      <c r="V12" s="710" t="s">
        <v>17</v>
      </c>
      <c r="W12" s="711">
        <f t="shared" si="2"/>
        <v>100</v>
      </c>
      <c r="X12" s="712"/>
      <c r="Y12" s="3220"/>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D14/F14</f>
        <v>1</v>
      </c>
      <c r="AB14" s="713">
        <f>D14/H14</f>
        <v>1</v>
      </c>
      <c r="AC14" s="713">
        <f>D14/J14</f>
        <v>1</v>
      </c>
    </row>
    <row r="15" spans="1:30" ht="99.75">
      <c r="A15" s="399" t="s">
        <v>2379</v>
      </c>
      <c r="B15" s="65" t="s">
        <v>1942</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2" t="s">
        <v>2380</v>
      </c>
      <c r="Q15" s="1537" t="str">
        <f t="shared" si="6"/>
        <v>居住社区成熟度</v>
      </c>
      <c r="R15" s="714" t="s">
        <v>17</v>
      </c>
      <c r="S15" s="715">
        <f t="shared" si="0"/>
        <v>100</v>
      </c>
      <c r="T15" s="714" t="s">
        <v>17</v>
      </c>
      <c r="U15" s="715">
        <f t="shared" si="1"/>
        <v>100</v>
      </c>
      <c r="V15" s="714" t="s">
        <v>17</v>
      </c>
      <c r="W15" s="715">
        <f t="shared" si="2"/>
        <v>100</v>
      </c>
      <c r="X15" s="1540"/>
      <c r="Y15" s="3312"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3"/>
      <c r="Q17" s="1537" t="str">
        <f>B17</f>
        <v>商业繁华度</v>
      </c>
      <c r="R17" s="714" t="s">
        <v>17</v>
      </c>
      <c r="S17" s="715">
        <f>F17</f>
        <v>100</v>
      </c>
      <c r="T17" s="714" t="s">
        <v>17</v>
      </c>
      <c r="U17" s="715">
        <f>H17</f>
        <v>100</v>
      </c>
      <c r="V17" s="714" t="s">
        <v>17</v>
      </c>
      <c r="W17" s="715">
        <f>J17</f>
        <v>100</v>
      </c>
      <c r="X17" s="1540"/>
      <c r="Y17" s="331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3"/>
      <c r="Q19" s="1537" t="str">
        <f>B19</f>
        <v>办公集聚程度</v>
      </c>
      <c r="R19" s="714" t="s">
        <v>17</v>
      </c>
      <c r="S19" s="715">
        <f>F19</f>
        <v>100</v>
      </c>
      <c r="T19" s="714" t="s">
        <v>17</v>
      </c>
      <c r="U19" s="715">
        <f>H19</f>
        <v>100</v>
      </c>
      <c r="V19" s="714" t="s">
        <v>17</v>
      </c>
      <c r="W19" s="715">
        <f>J19</f>
        <v>100</v>
      </c>
      <c r="X19" s="1540"/>
      <c r="Y19" s="331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3"/>
      <c r="Q20" s="1537"/>
      <c r="R20" s="714"/>
      <c r="S20" s="715"/>
      <c r="T20" s="714"/>
      <c r="U20" s="715"/>
      <c r="V20" s="714"/>
      <c r="W20" s="715"/>
      <c r="X20" s="1540"/>
      <c r="Y20" s="3313"/>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3"/>
      <c r="Q21" s="1537" t="str">
        <f>B21</f>
        <v>交通便捷度</v>
      </c>
      <c r="R21" s="714" t="s">
        <v>17</v>
      </c>
      <c r="S21" s="715">
        <f>F21</f>
        <v>100</v>
      </c>
      <c r="T21" s="714" t="s">
        <v>17</v>
      </c>
      <c r="U21" s="715">
        <f>H21</f>
        <v>100</v>
      </c>
      <c r="V21" s="714" t="s">
        <v>17</v>
      </c>
      <c r="W21" s="715">
        <f>J21</f>
        <v>100</v>
      </c>
      <c r="X21" s="1540"/>
      <c r="Y21" s="331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3"/>
      <c r="Q23" s="1537" t="str">
        <f t="shared" ref="Q23:Q37" si="8">B23</f>
        <v>区域土地利用方向</v>
      </c>
      <c r="R23" s="714" t="s">
        <v>17</v>
      </c>
      <c r="S23" s="715">
        <f>F23</f>
        <v>100</v>
      </c>
      <c r="T23" s="714" t="s">
        <v>17</v>
      </c>
      <c r="U23" s="715">
        <f>H23</f>
        <v>100</v>
      </c>
      <c r="V23" s="714" t="s">
        <v>17</v>
      </c>
      <c r="W23" s="715">
        <f>J23</f>
        <v>100</v>
      </c>
      <c r="X23" s="1540"/>
      <c r="Y23" s="331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3"/>
      <c r="Q24" s="1537"/>
      <c r="R24" s="714"/>
      <c r="S24" s="715"/>
      <c r="T24" s="714"/>
      <c r="U24" s="715"/>
      <c r="V24" s="714"/>
      <c r="W24" s="715"/>
      <c r="X24" s="1540"/>
      <c r="Y24" s="3313"/>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3"/>
      <c r="Q25" s="1537" t="str">
        <f t="shared" si="8"/>
        <v>自然及人文环境状况</v>
      </c>
      <c r="R25" s="714" t="s">
        <v>17</v>
      </c>
      <c r="S25" s="715">
        <f>F25</f>
        <v>100</v>
      </c>
      <c r="T25" s="714" t="s">
        <v>17</v>
      </c>
      <c r="U25" s="715">
        <f>H25</f>
        <v>100</v>
      </c>
      <c r="V25" s="714" t="s">
        <v>17</v>
      </c>
      <c r="W25" s="715">
        <f>J25</f>
        <v>100</v>
      </c>
      <c r="X25" s="1540"/>
      <c r="Y25" s="331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3"/>
      <c r="Q26" s="1537"/>
      <c r="R26" s="714"/>
      <c r="S26" s="715"/>
      <c r="T26" s="714"/>
      <c r="U26" s="715"/>
      <c r="V26" s="714"/>
      <c r="W26" s="715"/>
      <c r="X26" s="1540"/>
      <c r="Y26" s="3313"/>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3"/>
      <c r="Q27" s="1528" t="str">
        <f t="shared" si="8"/>
        <v>公共配套设施</v>
      </c>
      <c r="R27" s="710" t="s">
        <v>17</v>
      </c>
      <c r="S27" s="711">
        <f>F27</f>
        <v>100</v>
      </c>
      <c r="T27" s="710" t="s">
        <v>17</v>
      </c>
      <c r="U27" s="711">
        <f>H27</f>
        <v>100</v>
      </c>
      <c r="V27" s="710" t="s">
        <v>17</v>
      </c>
      <c r="W27" s="711">
        <f>J27</f>
        <v>100</v>
      </c>
      <c r="X27" s="712"/>
      <c r="Y27" s="331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3"/>
      <c r="Q28" s="1528"/>
      <c r="R28" s="710"/>
      <c r="S28" s="711"/>
      <c r="T28" s="710"/>
      <c r="U28" s="711"/>
      <c r="V28" s="710"/>
      <c r="W28" s="711"/>
      <c r="X28" s="712"/>
      <c r="Y28" s="3313"/>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3"/>
      <c r="Q29" s="1528"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3"/>
      <c r="Q30" s="1528"/>
      <c r="R30" s="710"/>
      <c r="S30" s="711"/>
      <c r="T30" s="710"/>
      <c r="U30" s="711"/>
      <c r="V30" s="710"/>
      <c r="W30" s="711"/>
      <c r="X30" s="712"/>
      <c r="Y30" s="3313"/>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3"/>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3"/>
      <c r="Q32" s="1537" t="str">
        <f t="shared" si="8"/>
        <v>毗邻道路的类型与等级</v>
      </c>
      <c r="R32" s="714" t="s">
        <v>17</v>
      </c>
      <c r="S32" s="715">
        <f t="shared" si="10"/>
        <v>100</v>
      </c>
      <c r="T32" s="714" t="s">
        <v>17</v>
      </c>
      <c r="U32" s="715">
        <f t="shared" si="11"/>
        <v>100</v>
      </c>
      <c r="V32" s="714" t="s">
        <v>17</v>
      </c>
      <c r="W32" s="715">
        <f t="shared" si="12"/>
        <v>100</v>
      </c>
      <c r="X32" s="1540"/>
      <c r="Y32" s="331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3"/>
      <c r="Q33" s="1537"/>
      <c r="R33" s="714"/>
      <c r="S33" s="715"/>
      <c r="T33" s="714"/>
      <c r="U33" s="715"/>
      <c r="V33" s="714"/>
      <c r="W33" s="715"/>
      <c r="X33" s="1540"/>
      <c r="Y33" s="3313"/>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3"/>
      <c r="Q34" s="1537" t="str">
        <f t="shared" si="8"/>
        <v>土地级别</v>
      </c>
      <c r="R34" s="714" t="s">
        <v>17</v>
      </c>
      <c r="S34" s="715">
        <f t="shared" si="10"/>
        <v>100</v>
      </c>
      <c r="T34" s="714" t="s">
        <v>17</v>
      </c>
      <c r="U34" s="715">
        <f t="shared" si="11"/>
        <v>100</v>
      </c>
      <c r="V34" s="714" t="s">
        <v>17</v>
      </c>
      <c r="W34" s="715">
        <f t="shared" si="12"/>
        <v>100</v>
      </c>
      <c r="X34" s="1540"/>
      <c r="Y34" s="331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3"/>
      <c r="Q35" s="1537">
        <f t="shared" si="8"/>
        <v>111</v>
      </c>
      <c r="R35" s="714" t="s">
        <v>17</v>
      </c>
      <c r="S35" s="715">
        <f t="shared" si="10"/>
        <v>100</v>
      </c>
      <c r="T35" s="714" t="s">
        <v>17</v>
      </c>
      <c r="U35" s="715">
        <f t="shared" si="11"/>
        <v>100</v>
      </c>
      <c r="V35" s="714" t="s">
        <v>17</v>
      </c>
      <c r="W35" s="715">
        <f t="shared" si="12"/>
        <v>100</v>
      </c>
      <c r="X35" s="1540"/>
      <c r="Y35" s="331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36" t="s">
        <v>2385</v>
      </c>
      <c r="Q36" s="1537">
        <f t="shared" si="8"/>
        <v>111</v>
      </c>
      <c r="R36" s="714" t="s">
        <v>17</v>
      </c>
      <c r="S36" s="715">
        <f t="shared" si="10"/>
        <v>100</v>
      </c>
      <c r="T36" s="714" t="s">
        <v>17</v>
      </c>
      <c r="U36" s="715">
        <f t="shared" si="11"/>
        <v>100</v>
      </c>
      <c r="V36" s="714" t="s">
        <v>17</v>
      </c>
      <c r="W36" s="715">
        <f t="shared" si="12"/>
        <v>100</v>
      </c>
      <c r="X36" s="1540"/>
      <c r="Y36" s="3317"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7"/>
      <c r="Q37" s="1537">
        <f t="shared" si="8"/>
        <v>111</v>
      </c>
      <c r="R37" s="717" t="s">
        <v>17</v>
      </c>
      <c r="S37" s="718">
        <f t="shared" si="10"/>
        <v>100</v>
      </c>
      <c r="T37" s="717" t="s">
        <v>17</v>
      </c>
      <c r="U37" s="718">
        <f t="shared" si="11"/>
        <v>100</v>
      </c>
      <c r="V37" s="717" t="s">
        <v>17</v>
      </c>
      <c r="W37" s="718">
        <f t="shared" si="12"/>
        <v>100</v>
      </c>
      <c r="X37" s="719"/>
      <c r="Y37" s="3317"/>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7"/>
      <c r="Q38" s="1537" t="str">
        <f>B38</f>
        <v>宗地面积</v>
      </c>
      <c r="R38" s="714" t="s">
        <v>17</v>
      </c>
      <c r="S38" s="715" t="e">
        <f t="shared" si="10"/>
        <v>#N/A</v>
      </c>
      <c r="T38" s="714" t="s">
        <v>17</v>
      </c>
      <c r="U38" s="715" t="e">
        <f t="shared" si="11"/>
        <v>#N/A</v>
      </c>
      <c r="V38" s="714" t="s">
        <v>17</v>
      </c>
      <c r="W38" s="715" t="e">
        <f t="shared" si="12"/>
        <v>#N/A</v>
      </c>
      <c r="X38" s="1540"/>
      <c r="Y38" s="3317"/>
      <c r="Z38" s="1541" t="str">
        <f t="shared" si="13"/>
        <v>宗地面积</v>
      </c>
      <c r="AA38" s="1538" t="e">
        <f t="shared" si="3"/>
        <v>#N/A</v>
      </c>
      <c r="AB38" s="1538" t="e">
        <f t="shared" si="4"/>
        <v>#N/A</v>
      </c>
      <c r="AC38" s="1538" t="e">
        <f t="shared" si="5"/>
        <v>#N/A</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7"/>
      <c r="Q39" s="1537" t="str">
        <f t="shared" ref="Q39:Q45" si="14">B39</f>
        <v>宗地形状</v>
      </c>
      <c r="R39" s="714" t="s">
        <v>17</v>
      </c>
      <c r="S39" s="715">
        <f t="shared" si="10"/>
        <v>100</v>
      </c>
      <c r="T39" s="714" t="s">
        <v>17</v>
      </c>
      <c r="U39" s="715">
        <f t="shared" si="11"/>
        <v>100</v>
      </c>
      <c r="V39" s="714" t="s">
        <v>17</v>
      </c>
      <c r="W39" s="715">
        <f t="shared" si="12"/>
        <v>100</v>
      </c>
      <c r="X39" s="1540"/>
      <c r="Y39" s="3317"/>
      <c r="Z39" s="1541" t="str">
        <f t="shared" si="13"/>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7"/>
      <c r="Q40" s="1537" t="str">
        <f t="shared" si="14"/>
        <v>临街宽度及深度</v>
      </c>
      <c r="R40" s="714" t="s">
        <v>17</v>
      </c>
      <c r="S40" s="715">
        <f t="shared" si="10"/>
        <v>100</v>
      </c>
      <c r="T40" s="714" t="s">
        <v>17</v>
      </c>
      <c r="U40" s="715">
        <f t="shared" si="11"/>
        <v>100</v>
      </c>
      <c r="V40" s="714" t="s">
        <v>17</v>
      </c>
      <c r="W40" s="715">
        <f t="shared" si="12"/>
        <v>100</v>
      </c>
      <c r="X40" s="1540"/>
      <c r="Y40" s="3317"/>
      <c r="Z40" s="1541" t="str">
        <f t="shared" si="13"/>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7"/>
      <c r="Q41" s="1537"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7" t="s">
        <v>2385</v>
      </c>
      <c r="Q42" s="1537" t="str">
        <f t="shared" si="14"/>
        <v>工程地质条件</v>
      </c>
      <c r="R42" s="714" t="s">
        <v>17</v>
      </c>
      <c r="S42" s="715">
        <f t="shared" si="10"/>
        <v>100</v>
      </c>
      <c r="T42" s="714" t="s">
        <v>17</v>
      </c>
      <c r="U42" s="715">
        <f t="shared" si="11"/>
        <v>100</v>
      </c>
      <c r="V42" s="714" t="s">
        <v>17</v>
      </c>
      <c r="W42" s="715">
        <f t="shared" si="12"/>
        <v>100</v>
      </c>
      <c r="X42" s="1540"/>
      <c r="Y42" s="3317"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7"/>
      <c r="Q43" s="1537">
        <f t="shared" si="14"/>
        <v>111</v>
      </c>
      <c r="R43" s="714" t="s">
        <v>17</v>
      </c>
      <c r="S43" s="715">
        <f t="shared" si="10"/>
        <v>100</v>
      </c>
      <c r="T43" s="714" t="s">
        <v>17</v>
      </c>
      <c r="U43" s="715">
        <f t="shared" si="11"/>
        <v>100</v>
      </c>
      <c r="V43" s="714" t="s">
        <v>17</v>
      </c>
      <c r="W43" s="715">
        <f t="shared" si="12"/>
        <v>100</v>
      </c>
      <c r="X43" s="1540"/>
      <c r="Y43" s="331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7"/>
      <c r="Q44" s="1537">
        <f t="shared" si="14"/>
        <v>111</v>
      </c>
      <c r="R44" s="714" t="s">
        <v>17</v>
      </c>
      <c r="S44" s="715">
        <f t="shared" si="10"/>
        <v>100</v>
      </c>
      <c r="T44" s="714" t="s">
        <v>17</v>
      </c>
      <c r="U44" s="715">
        <f t="shared" si="11"/>
        <v>100</v>
      </c>
      <c r="V44" s="714" t="s">
        <v>17</v>
      </c>
      <c r="W44" s="715">
        <f t="shared" si="12"/>
        <v>100</v>
      </c>
      <c r="X44" s="1540"/>
      <c r="Y44" s="331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7"/>
      <c r="Q45" s="1537">
        <f t="shared" si="14"/>
        <v>111</v>
      </c>
      <c r="R45" s="717" t="s">
        <v>17</v>
      </c>
      <c r="S45" s="718">
        <f t="shared" si="10"/>
        <v>100</v>
      </c>
      <c r="T45" s="717" t="s">
        <v>17</v>
      </c>
      <c r="U45" s="718">
        <f t="shared" si="11"/>
        <v>100</v>
      </c>
      <c r="V45" s="717" t="s">
        <v>17</v>
      </c>
      <c r="W45" s="718">
        <f t="shared" si="12"/>
        <v>100</v>
      </c>
      <c r="X45" s="719"/>
      <c r="Y45" s="3317"/>
      <c r="Z45" s="720">
        <f t="shared" si="13"/>
        <v>111</v>
      </c>
      <c r="AA45" s="1538">
        <f t="shared" si="3"/>
        <v>1</v>
      </c>
      <c r="AB45" s="1538">
        <f t="shared" si="4"/>
        <v>1</v>
      </c>
      <c r="AC45" s="1538">
        <f t="shared" si="5"/>
        <v>1</v>
      </c>
    </row>
    <row r="46" spans="1:29" ht="15">
      <c r="A46" s="438" t="s">
        <v>2540</v>
      </c>
      <c r="B46" s="2169" t="s">
        <v>2576</v>
      </c>
      <c r="C46" s="638" t="s">
        <v>1</v>
      </c>
      <c r="D46" s="440"/>
      <c r="E46" s="441"/>
      <c r="F46" s="442"/>
      <c r="G46" s="443"/>
      <c r="H46" s="444"/>
      <c r="I46" s="441"/>
      <c r="J46" s="444"/>
      <c r="K46" s="723"/>
      <c r="L46" s="2954"/>
      <c r="M46" s="2955"/>
      <c r="N46" s="2946"/>
      <c r="O46" s="2955"/>
      <c r="P46" s="3310" t="str">
        <f>A46</f>
        <v>成交单价</v>
      </c>
      <c r="Q46" s="3310"/>
      <c r="R46" s="3305">
        <f>E46</f>
        <v>0</v>
      </c>
      <c r="S46" s="3305"/>
      <c r="T46" s="3305">
        <f>G46</f>
        <v>0</v>
      </c>
      <c r="U46" s="3305"/>
      <c r="V46" s="3305">
        <f>I46</f>
        <v>0</v>
      </c>
      <c r="W46" s="3305"/>
      <c r="X46" s="699"/>
      <c r="Y46" s="721"/>
      <c r="Z46" s="699"/>
      <c r="AA46" s="699"/>
      <c r="AB46" s="699"/>
      <c r="AC46" s="699"/>
    </row>
    <row r="47" spans="1:29" ht="15.75" thickBot="1">
      <c r="A47" s="445" t="s">
        <v>2489</v>
      </c>
      <c r="B47" s="639"/>
      <c r="C47" s="448" t="e">
        <f>R48</f>
        <v>#DIV/0!</v>
      </c>
      <c r="D47" s="2539" t="s">
        <v>2878</v>
      </c>
      <c r="E47" s="448" t="e">
        <f>R47</f>
        <v>#DIV/0!</v>
      </c>
      <c r="F47" s="2540"/>
      <c r="G47" s="447" t="e">
        <f>T47</f>
        <v>#DIV/0!</v>
      </c>
      <c r="H47" s="2540"/>
      <c r="I47" s="448" t="e">
        <f>V47</f>
        <v>#DIV/0!</v>
      </c>
      <c r="J47" s="2540"/>
      <c r="K47" s="2542">
        <f>F47+H47+J47</f>
        <v>0</v>
      </c>
      <c r="L47" s="2954"/>
      <c r="M47" s="2955"/>
      <c r="N47" s="2955"/>
      <c r="O47" s="2955"/>
      <c r="P47" s="3310" t="str">
        <f>A47</f>
        <v>比较价值（元/平方米）</v>
      </c>
      <c r="Q47" s="3310"/>
      <c r="R47" s="3338" t="e">
        <f>ROUND(PRODUCT(R46,AA7:AA45),0)</f>
        <v>#DIV/0!</v>
      </c>
      <c r="S47" s="3338"/>
      <c r="T47" s="3338" t="e">
        <f>ROUND(PRODUCT(T46,AB7:AB45),0)</f>
        <v>#DIV/0!</v>
      </c>
      <c r="U47" s="3338"/>
      <c r="V47" s="3338" t="e">
        <f>ROUND(PRODUCT(V46,AC7:AC45),0)</f>
        <v>#DIV/0!</v>
      </c>
      <c r="W47" s="333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4"/>
      <c r="M48" s="2955"/>
      <c r="N48" s="2955"/>
      <c r="O48" s="2955"/>
      <c r="P48" s="3307" t="str">
        <f>A48</f>
        <v>估价对象XX用房的比较价值（楼面单价，元/平方米）</v>
      </c>
      <c r="Q48" s="3308"/>
      <c r="R48" s="3339" t="e">
        <f>ROUND(IF(D47="简单平均",AVERAGE(R47:W47),R47*F47+T47*H47+V47*J47),0)</f>
        <v>#DIV/0!</v>
      </c>
      <c r="S48" s="3339"/>
      <c r="T48" s="3339"/>
      <c r="U48" s="3339"/>
      <c r="V48" s="3339"/>
      <c r="W48" s="333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293" t="s">
        <v>2584</v>
      </c>
      <c r="H55" s="3340"/>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t="e">
        <f>C48</f>
        <v>#DIV/0!</v>
      </c>
      <c r="C56" s="646">
        <v>1</v>
      </c>
      <c r="D56" s="1075">
        <v>1</v>
      </c>
      <c r="E56" s="646">
        <f>'数据-汇总表'!E8+'数据-汇总表'!E9</f>
        <v>6152.41</v>
      </c>
      <c r="F56" s="1017" t="e">
        <f t="shared" ref="F56:F65" si="15">ROUND(B56*E56/10000,0)</f>
        <v>#DIV/0!</v>
      </c>
      <c r="G56" s="3292"/>
      <c r="H56" s="3310"/>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t="e">
        <f>ROUND($C$48*C57*D57,0)</f>
        <v>#DIV/0!</v>
      </c>
      <c r="C57" s="176">
        <f t="shared" ref="C57:C65" si="16">IF($C$55="北京市系数",I57,J57)</f>
        <v>0.7</v>
      </c>
      <c r="D57" s="1076">
        <v>0.25</v>
      </c>
      <c r="E57" s="650"/>
      <c r="F57" s="1017" t="e">
        <f t="shared" si="15"/>
        <v>#DIV/0!</v>
      </c>
      <c r="G57" s="3341" t="s">
        <v>2589</v>
      </c>
      <c r="H57" s="1018" t="str">
        <f>项目基本情况!B37</f>
        <v>三级</v>
      </c>
      <c r="I57" s="1022">
        <f>SUMIF(修正!A45:A56,H57,修正!B45:B56)</f>
        <v>0.7</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t="e">
        <f t="shared" ref="B58:B65" si="17">ROUND($C$48*C58*D58,0)</f>
        <v>#DIV/0!</v>
      </c>
      <c r="C58" s="176">
        <f t="shared" si="16"/>
        <v>0.4</v>
      </c>
      <c r="D58" s="1076">
        <v>0.25</v>
      </c>
      <c r="E58" s="650"/>
      <c r="F58" s="1017" t="e">
        <f t="shared" si="15"/>
        <v>#DIV/0!</v>
      </c>
      <c r="G58" s="3341"/>
      <c r="H58" s="1018" t="str">
        <f>项目基本情况!B37</f>
        <v>三级</v>
      </c>
      <c r="I58" s="1022">
        <f>SUMIF(修正!A45:A56,H58,修正!C45:C56)</f>
        <v>0.4</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t="e">
        <f t="shared" si="17"/>
        <v>#DIV/0!</v>
      </c>
      <c r="C59" s="176">
        <f t="shared" si="16"/>
        <v>0.28000000000000003</v>
      </c>
      <c r="D59" s="1076">
        <v>0.25</v>
      </c>
      <c r="E59" s="650"/>
      <c r="F59" s="1017" t="e">
        <f t="shared" si="15"/>
        <v>#DIV/0!</v>
      </c>
      <c r="G59" s="3341"/>
      <c r="H59" s="1018" t="str">
        <f>项目基本情况!B37</f>
        <v>三级</v>
      </c>
      <c r="I59" s="1022">
        <f>SUMIF(修正!A45:A56,H59,修正!D45:D56)</f>
        <v>0.28000000000000003</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t="e">
        <f t="shared" si="17"/>
        <v>#DIV/0!</v>
      </c>
      <c r="C60" s="176">
        <f t="shared" si="16"/>
        <v>0.25</v>
      </c>
      <c r="D60" s="1076">
        <v>0.25</v>
      </c>
      <c r="E60" s="650"/>
      <c r="F60" s="1017" t="e">
        <f t="shared" si="15"/>
        <v>#DIV/0!</v>
      </c>
      <c r="G60" s="3341"/>
      <c r="H60" s="1018" t="str">
        <f>项目基本情况!B37</f>
        <v>三级</v>
      </c>
      <c r="I60" s="1022">
        <f>SUMIF(修正!A45:A56,H60,修正!E45:E56)</f>
        <v>0.25</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t="e">
        <f t="shared" si="17"/>
        <v>#DIV/0!</v>
      </c>
      <c r="C61" s="176">
        <f t="shared" si="16"/>
        <v>0</v>
      </c>
      <c r="D61" s="1076">
        <v>0.25</v>
      </c>
      <c r="E61" s="223">
        <f>'数据-汇总表'!E11</f>
        <v>0</v>
      </c>
      <c r="F61" s="1017" t="e">
        <f t="shared" si="15"/>
        <v>#DIV/0!</v>
      </c>
      <c r="G61" s="2174" t="s">
        <v>2594</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t="e">
        <f t="shared" si="17"/>
        <v>#DIV/0!</v>
      </c>
      <c r="C64" s="176">
        <f t="shared" si="16"/>
        <v>0.2</v>
      </c>
      <c r="D64" s="1076">
        <v>0.25</v>
      </c>
      <c r="E64" s="223">
        <f>'数据-汇总表'!E14</f>
        <v>0</v>
      </c>
      <c r="F64" s="1017" t="e">
        <f t="shared" si="15"/>
        <v>#DIV/0!</v>
      </c>
      <c r="G64" s="2174" t="s">
        <v>2589</v>
      </c>
      <c r="H64" s="1018" t="str">
        <f>项目基本情况!B37</f>
        <v>三级</v>
      </c>
      <c r="I64" s="1022">
        <f>SUMIF(修正!A45:A56,H64,修正!H45:H56)</f>
        <v>0.2</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t="e">
        <f t="shared" si="17"/>
        <v>#DIV/0!</v>
      </c>
      <c r="C65" s="176">
        <f t="shared" si="16"/>
        <v>0</v>
      </c>
      <c r="D65" s="1076">
        <v>0.25</v>
      </c>
      <c r="E65" s="223">
        <f>'数据-汇总表'!E15</f>
        <v>0</v>
      </c>
      <c r="F65" s="1017" t="e">
        <f t="shared" si="15"/>
        <v>#DIV/0!</v>
      </c>
      <c r="G65" s="2175" t="s">
        <v>2594</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6152.41</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2602</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342" t="s">
        <v>2617</v>
      </c>
      <c r="D6" s="3343"/>
      <c r="E6" s="3344" t="s">
        <v>2617</v>
      </c>
      <c r="F6" s="3345"/>
      <c r="G6" s="3342" t="s">
        <v>2617</v>
      </c>
      <c r="H6" s="3343"/>
      <c r="I6" s="3342" t="s">
        <v>2617</v>
      </c>
      <c r="J6" s="3343"/>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44267</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149</v>
      </c>
      <c r="G10" s="391"/>
      <c r="H10" s="132">
        <f>ROUND(100/'数据-取费表'!G16,0)</f>
        <v>149</v>
      </c>
      <c r="I10" s="391"/>
      <c r="J10" s="132">
        <f>ROUND(100/'数据-取费表'!G16,0)</f>
        <v>149</v>
      </c>
      <c r="K10" s="628"/>
      <c r="L10" s="2949"/>
      <c r="M10" s="2950"/>
      <c r="N10" s="2950"/>
      <c r="O10" s="3003"/>
      <c r="P10" s="3310"/>
      <c r="Q10" s="1528" t="str">
        <f t="shared" si="6"/>
        <v>土地使用年限（年）</v>
      </c>
      <c r="R10" s="710" t="s">
        <v>17</v>
      </c>
      <c r="S10" s="711">
        <f t="shared" si="0"/>
        <v>149</v>
      </c>
      <c r="T10" s="710" t="s">
        <v>17</v>
      </c>
      <c r="U10" s="711">
        <f t="shared" si="1"/>
        <v>149</v>
      </c>
      <c r="V10" s="710" t="s">
        <v>17</v>
      </c>
      <c r="W10" s="711">
        <f t="shared" si="2"/>
        <v>149</v>
      </c>
      <c r="X10" s="712"/>
      <c r="Y10" s="3220"/>
      <c r="Z10" s="55" t="str">
        <f t="shared" si="7"/>
        <v>土地使用年限（年）</v>
      </c>
      <c r="AA10" s="713">
        <f t="shared" si="3"/>
        <v>0.67114093959731547</v>
      </c>
      <c r="AB10" s="713">
        <f t="shared" si="4"/>
        <v>0.67114093959731547</v>
      </c>
      <c r="AC10" s="713">
        <f t="shared" si="5"/>
        <v>0.67114093959731547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2" t="s">
        <v>2380</v>
      </c>
      <c r="Q15" s="1537" t="str">
        <f t="shared" si="6"/>
        <v>产业集聚程度</v>
      </c>
      <c r="R15" s="714" t="s">
        <v>17</v>
      </c>
      <c r="S15" s="715">
        <f t="shared" si="0"/>
        <v>100</v>
      </c>
      <c r="T15" s="714" t="s">
        <v>17</v>
      </c>
      <c r="U15" s="715">
        <f t="shared" si="1"/>
        <v>100</v>
      </c>
      <c r="V15" s="714" t="s">
        <v>17</v>
      </c>
      <c r="W15" s="715">
        <f t="shared" si="2"/>
        <v>100</v>
      </c>
      <c r="X15" s="1540"/>
      <c r="Y15" s="3312"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3"/>
      <c r="Q19" s="1537" t="str">
        <f t="shared" ref="Q19:Q33" si="8">B19</f>
        <v>区域土地利用方向</v>
      </c>
      <c r="R19" s="714" t="s">
        <v>17</v>
      </c>
      <c r="S19" s="715">
        <f>F19</f>
        <v>100</v>
      </c>
      <c r="T19" s="714" t="s">
        <v>17</v>
      </c>
      <c r="U19" s="715">
        <f>H19</f>
        <v>100</v>
      </c>
      <c r="V19" s="714" t="s">
        <v>17</v>
      </c>
      <c r="W19" s="715">
        <f>J19</f>
        <v>100</v>
      </c>
      <c r="X19" s="1540"/>
      <c r="Y19" s="331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3"/>
      <c r="Q20" s="1537"/>
      <c r="R20" s="714"/>
      <c r="S20" s="715"/>
      <c r="T20" s="714"/>
      <c r="U20" s="715"/>
      <c r="V20" s="714"/>
      <c r="W20" s="715"/>
      <c r="X20" s="1540"/>
      <c r="Y20" s="3313"/>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3"/>
      <c r="Q21" s="1537" t="str">
        <f t="shared" si="8"/>
        <v>环境状况</v>
      </c>
      <c r="R21" s="714" t="s">
        <v>17</v>
      </c>
      <c r="S21" s="715">
        <f>F21</f>
        <v>100</v>
      </c>
      <c r="T21" s="714" t="s">
        <v>17</v>
      </c>
      <c r="U21" s="715">
        <f>H21</f>
        <v>100</v>
      </c>
      <c r="V21" s="714" t="s">
        <v>17</v>
      </c>
      <c r="W21" s="715">
        <f>J21</f>
        <v>100</v>
      </c>
      <c r="X21" s="1540"/>
      <c r="Y21" s="331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3"/>
      <c r="Q23" s="1528" t="str">
        <f t="shared" si="8"/>
        <v>公共配套设施</v>
      </c>
      <c r="R23" s="710" t="s">
        <v>17</v>
      </c>
      <c r="S23" s="711">
        <f>F23</f>
        <v>100</v>
      </c>
      <c r="T23" s="710" t="s">
        <v>17</v>
      </c>
      <c r="U23" s="711">
        <f>H23</f>
        <v>100</v>
      </c>
      <c r="V23" s="710" t="s">
        <v>17</v>
      </c>
      <c r="W23" s="711">
        <f>J23</f>
        <v>100</v>
      </c>
      <c r="X23" s="712"/>
      <c r="Y23" s="331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3"/>
      <c r="Q24" s="1528"/>
      <c r="R24" s="710"/>
      <c r="S24" s="711"/>
      <c r="T24" s="710"/>
      <c r="U24" s="711"/>
      <c r="V24" s="710"/>
      <c r="W24" s="711"/>
      <c r="X24" s="712"/>
      <c r="Y24" s="3313"/>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3"/>
      <c r="Q25" s="1528"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3"/>
      <c r="Q26" s="1528"/>
      <c r="R26" s="710"/>
      <c r="S26" s="711"/>
      <c r="T26" s="710"/>
      <c r="U26" s="711"/>
      <c r="V26" s="710"/>
      <c r="W26" s="711"/>
      <c r="X26" s="712"/>
      <c r="Y26" s="331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3"/>
      <c r="Z27" s="1541" t="str">
        <f t="shared" ref="Z27:Z40" si="13">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3"/>
      <c r="Q28" s="1537" t="str">
        <f t="shared" si="8"/>
        <v>毗邻道路的类型与等级</v>
      </c>
      <c r="R28" s="714" t="s">
        <v>17</v>
      </c>
      <c r="S28" s="715">
        <f t="shared" si="10"/>
        <v>100</v>
      </c>
      <c r="T28" s="714" t="s">
        <v>17</v>
      </c>
      <c r="U28" s="715">
        <f t="shared" si="11"/>
        <v>100</v>
      </c>
      <c r="V28" s="714" t="s">
        <v>17</v>
      </c>
      <c r="W28" s="715">
        <f t="shared" si="12"/>
        <v>100</v>
      </c>
      <c r="X28" s="1540"/>
      <c r="Y28" s="331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3"/>
      <c r="Q29" s="1537"/>
      <c r="R29" s="714"/>
      <c r="S29" s="715"/>
      <c r="T29" s="714"/>
      <c r="U29" s="715"/>
      <c r="V29" s="714"/>
      <c r="W29" s="715"/>
      <c r="X29" s="1540"/>
      <c r="Y29" s="3313"/>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3"/>
      <c r="Q30" s="1537" t="str">
        <f t="shared" si="8"/>
        <v>土地级别</v>
      </c>
      <c r="R30" s="714" t="s">
        <v>17</v>
      </c>
      <c r="S30" s="715">
        <f t="shared" si="10"/>
        <v>100</v>
      </c>
      <c r="T30" s="714" t="s">
        <v>17</v>
      </c>
      <c r="U30" s="715">
        <f t="shared" si="11"/>
        <v>100</v>
      </c>
      <c r="V30" s="714" t="s">
        <v>17</v>
      </c>
      <c r="W30" s="715">
        <f t="shared" si="12"/>
        <v>100</v>
      </c>
      <c r="X30" s="1540"/>
      <c r="Y30" s="331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3"/>
      <c r="Q31" s="1537">
        <f t="shared" si="8"/>
        <v>111</v>
      </c>
      <c r="R31" s="714" t="s">
        <v>17</v>
      </c>
      <c r="S31" s="715">
        <f t="shared" si="10"/>
        <v>100</v>
      </c>
      <c r="T31" s="714" t="s">
        <v>17</v>
      </c>
      <c r="U31" s="715">
        <f t="shared" si="11"/>
        <v>100</v>
      </c>
      <c r="V31" s="714" t="s">
        <v>17</v>
      </c>
      <c r="W31" s="715">
        <f t="shared" si="12"/>
        <v>100</v>
      </c>
      <c r="X31" s="1540"/>
      <c r="Y31" s="331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36" t="s">
        <v>2385</v>
      </c>
      <c r="Q32" s="1537">
        <f t="shared" si="8"/>
        <v>111</v>
      </c>
      <c r="R32" s="714" t="s">
        <v>17</v>
      </c>
      <c r="S32" s="715">
        <f t="shared" si="10"/>
        <v>100</v>
      </c>
      <c r="T32" s="714" t="s">
        <v>17</v>
      </c>
      <c r="U32" s="715">
        <f t="shared" si="11"/>
        <v>100</v>
      </c>
      <c r="V32" s="714" t="s">
        <v>17</v>
      </c>
      <c r="W32" s="715">
        <f t="shared" si="12"/>
        <v>100</v>
      </c>
      <c r="X32" s="1540"/>
      <c r="Y32" s="3317"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7"/>
      <c r="Q33" s="1537">
        <f t="shared" si="8"/>
        <v>111</v>
      </c>
      <c r="R33" s="717" t="s">
        <v>17</v>
      </c>
      <c r="S33" s="718">
        <f t="shared" si="10"/>
        <v>100</v>
      </c>
      <c r="T33" s="717" t="s">
        <v>17</v>
      </c>
      <c r="U33" s="718">
        <f t="shared" si="11"/>
        <v>100</v>
      </c>
      <c r="V33" s="717" t="s">
        <v>17</v>
      </c>
      <c r="W33" s="718">
        <f t="shared" si="12"/>
        <v>100</v>
      </c>
      <c r="X33" s="719"/>
      <c r="Y33" s="3317"/>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7"/>
      <c r="Q34" s="1537" t="str">
        <f>B34</f>
        <v>宗地面积</v>
      </c>
      <c r="R34" s="714" t="s">
        <v>17</v>
      </c>
      <c r="S34" s="715" t="e">
        <f t="shared" si="10"/>
        <v>#N/A</v>
      </c>
      <c r="T34" s="714" t="s">
        <v>17</v>
      </c>
      <c r="U34" s="715" t="e">
        <f t="shared" si="11"/>
        <v>#N/A</v>
      </c>
      <c r="V34" s="714" t="s">
        <v>17</v>
      </c>
      <c r="W34" s="715" t="e">
        <f t="shared" si="12"/>
        <v>#N/A</v>
      </c>
      <c r="X34" s="1540"/>
      <c r="Y34" s="3317"/>
      <c r="Z34" s="1541" t="str">
        <f t="shared" si="13"/>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7"/>
      <c r="Q35" s="1537" t="str">
        <f t="shared" ref="Q35:Q40" si="14">B35</f>
        <v>宗地形状</v>
      </c>
      <c r="R35" s="714" t="s">
        <v>17</v>
      </c>
      <c r="S35" s="715">
        <f t="shared" si="10"/>
        <v>100</v>
      </c>
      <c r="T35" s="714" t="s">
        <v>17</v>
      </c>
      <c r="U35" s="715">
        <f t="shared" si="11"/>
        <v>100</v>
      </c>
      <c r="V35" s="714" t="s">
        <v>17</v>
      </c>
      <c r="W35" s="715">
        <f t="shared" si="12"/>
        <v>100</v>
      </c>
      <c r="X35" s="1540"/>
      <c r="Y35" s="3317"/>
      <c r="Z35" s="1541" t="str">
        <f t="shared" si="13"/>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7"/>
      <c r="Q36" s="1537"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7" t="s">
        <v>2385</v>
      </c>
      <c r="Q37" s="1537" t="str">
        <f t="shared" si="14"/>
        <v>工程地质条件</v>
      </c>
      <c r="R37" s="714" t="s">
        <v>17</v>
      </c>
      <c r="S37" s="715">
        <f t="shared" si="10"/>
        <v>100</v>
      </c>
      <c r="T37" s="714" t="s">
        <v>17</v>
      </c>
      <c r="U37" s="715">
        <f t="shared" si="11"/>
        <v>100</v>
      </c>
      <c r="V37" s="714" t="s">
        <v>17</v>
      </c>
      <c r="W37" s="715">
        <f t="shared" si="12"/>
        <v>100</v>
      </c>
      <c r="X37" s="1540"/>
      <c r="Y37" s="3317"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7"/>
      <c r="Q38" s="1537">
        <f t="shared" si="14"/>
        <v>111</v>
      </c>
      <c r="R38" s="714" t="s">
        <v>17</v>
      </c>
      <c r="S38" s="715">
        <f t="shared" si="10"/>
        <v>100</v>
      </c>
      <c r="T38" s="714" t="s">
        <v>17</v>
      </c>
      <c r="U38" s="715">
        <f t="shared" si="11"/>
        <v>100</v>
      </c>
      <c r="V38" s="714" t="s">
        <v>17</v>
      </c>
      <c r="W38" s="715">
        <f t="shared" si="12"/>
        <v>100</v>
      </c>
      <c r="X38" s="1540"/>
      <c r="Y38" s="331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7"/>
      <c r="Q39" s="1537">
        <f t="shared" si="14"/>
        <v>111</v>
      </c>
      <c r="R39" s="714" t="s">
        <v>17</v>
      </c>
      <c r="S39" s="715">
        <f t="shared" si="10"/>
        <v>100</v>
      </c>
      <c r="T39" s="714" t="s">
        <v>17</v>
      </c>
      <c r="U39" s="715">
        <f t="shared" si="11"/>
        <v>100</v>
      </c>
      <c r="V39" s="714" t="s">
        <v>17</v>
      </c>
      <c r="W39" s="715">
        <f t="shared" si="12"/>
        <v>100</v>
      </c>
      <c r="X39" s="1540"/>
      <c r="Y39" s="331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7"/>
      <c r="Q40" s="1537">
        <f t="shared" si="14"/>
        <v>111</v>
      </c>
      <c r="R40" s="717" t="s">
        <v>17</v>
      </c>
      <c r="S40" s="718">
        <f t="shared" si="10"/>
        <v>100</v>
      </c>
      <c r="T40" s="717" t="s">
        <v>17</v>
      </c>
      <c r="U40" s="718">
        <f t="shared" si="11"/>
        <v>100</v>
      </c>
      <c r="V40" s="717" t="s">
        <v>17</v>
      </c>
      <c r="W40" s="718">
        <f t="shared" si="12"/>
        <v>100</v>
      </c>
      <c r="X40" s="719"/>
      <c r="Y40" s="3317"/>
      <c r="Z40" s="720">
        <f t="shared" si="13"/>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10" t="str">
        <f>A41</f>
        <v>成交单价</v>
      </c>
      <c r="Q41" s="3310"/>
      <c r="R41" s="3305">
        <f>E41</f>
        <v>0</v>
      </c>
      <c r="S41" s="3305"/>
      <c r="T41" s="3305">
        <f>G41</f>
        <v>0</v>
      </c>
      <c r="U41" s="3305"/>
      <c r="V41" s="3305">
        <f>I41</f>
        <v>0</v>
      </c>
      <c r="W41" s="3305"/>
      <c r="X41" s="699"/>
      <c r="Y41" s="721"/>
      <c r="Z41" s="699"/>
      <c r="AA41" s="699"/>
      <c r="AB41" s="699"/>
      <c r="AC41" s="699"/>
    </row>
    <row r="42" spans="1:31" ht="15.75" thickBot="1">
      <c r="A42" s="445" t="s">
        <v>2489</v>
      </c>
      <c r="B42" s="639"/>
      <c r="C42" s="448" t="e">
        <f>R43</f>
        <v>#DIV/0!</v>
      </c>
      <c r="D42" s="2539" t="s">
        <v>2878</v>
      </c>
      <c r="E42" s="448" t="e">
        <f>R42</f>
        <v>#DIV/0!</v>
      </c>
      <c r="F42" s="2540"/>
      <c r="G42" s="447" t="e">
        <f>T42</f>
        <v>#DIV/0!</v>
      </c>
      <c r="H42" s="2540"/>
      <c r="I42" s="448" t="e">
        <f>V42</f>
        <v>#DIV/0!</v>
      </c>
      <c r="J42" s="2540"/>
      <c r="K42" s="2542">
        <f>F42+H42+J42</f>
        <v>0</v>
      </c>
      <c r="L42" s="2954"/>
      <c r="M42" s="2946"/>
      <c r="N42" s="2946"/>
      <c r="O42" s="2955"/>
      <c r="P42" s="3310" t="str">
        <f>A42</f>
        <v>比较价值（元/平方米）</v>
      </c>
      <c r="Q42" s="3310"/>
      <c r="R42" s="3338" t="e">
        <f>ROUND(PRODUCT(R41,AA7:AA40),0)</f>
        <v>#DIV/0!</v>
      </c>
      <c r="S42" s="3338"/>
      <c r="T42" s="3338" t="e">
        <f>ROUND(PRODUCT(T41,AB7:AB40),0)</f>
        <v>#DIV/0!</v>
      </c>
      <c r="U42" s="3338"/>
      <c r="V42" s="3338" t="e">
        <f>ROUND(PRODUCT(V41,AC7:AC40),0)</f>
        <v>#DIV/0!</v>
      </c>
      <c r="W42" s="333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07" t="str">
        <f>A43</f>
        <v>估价对象XX用房的比较价值（楼面单价，元/平方米）</v>
      </c>
      <c r="Q43" s="3308"/>
      <c r="R43" s="3339" t="e">
        <f>ROUND(IF(D42="简单平均",AVERAGE(R42:W42),R42*F42+T42*H42+V42*J42),0)</f>
        <v>#DIV/0!</v>
      </c>
      <c r="S43" s="3339"/>
      <c r="T43" s="3339"/>
      <c r="U43" s="3339"/>
      <c r="V43" s="3339"/>
      <c r="W43" s="333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293" t="s">
        <v>2584</v>
      </c>
      <c r="H50" s="3340"/>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6152.41</v>
      </c>
      <c r="F51" s="647" t="e">
        <f t="shared" ref="F51:F60" si="15">ROUND(B51*E51/10000,0)</f>
        <v>#DIV/0!</v>
      </c>
      <c r="G51" s="3292"/>
      <c r="H51" s="3310"/>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6">IF($C$50="北京市系数",I52,J52)</f>
        <v>0.7</v>
      </c>
      <c r="D52" s="1076">
        <v>0.25</v>
      </c>
      <c r="E52" s="650"/>
      <c r="F52" s="647" t="e">
        <f t="shared" si="15"/>
        <v>#DIV/0!</v>
      </c>
      <c r="G52" s="3341" t="s">
        <v>2589</v>
      </c>
      <c r="H52" s="1018" t="str">
        <f>项目基本情况!B37</f>
        <v>三级</v>
      </c>
      <c r="I52" s="879">
        <f>SUMIF(修正!A45:A56,H52,修正!B45:B56)</f>
        <v>0.7</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7">ROUND($C$43*C53*D53,0)</f>
        <v>#DIV/0!</v>
      </c>
      <c r="C53" s="176">
        <f t="shared" si="16"/>
        <v>0.4</v>
      </c>
      <c r="D53" s="1076">
        <v>0.25</v>
      </c>
      <c r="E53" s="650"/>
      <c r="F53" s="647" t="e">
        <f t="shared" si="15"/>
        <v>#DIV/0!</v>
      </c>
      <c r="G53" s="3341"/>
      <c r="H53" s="1018" t="str">
        <f>项目基本情况!B37</f>
        <v>三级</v>
      </c>
      <c r="I53" s="879">
        <f>SUMIF(修正!A45:A56,H53,修正!C45:C56)</f>
        <v>0.4</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7"/>
        <v>#DIV/0!</v>
      </c>
      <c r="C54" s="176">
        <f t="shared" si="16"/>
        <v>0.28000000000000003</v>
      </c>
      <c r="D54" s="1076">
        <v>0.25</v>
      </c>
      <c r="E54" s="650"/>
      <c r="F54" s="647" t="e">
        <f t="shared" si="15"/>
        <v>#DIV/0!</v>
      </c>
      <c r="G54" s="3341"/>
      <c r="H54" s="1018" t="str">
        <f>项目基本情况!B37</f>
        <v>三级</v>
      </c>
      <c r="I54" s="879">
        <f>SUMIF(修正!A45:A56,H54,修正!D45:D56)</f>
        <v>0.28000000000000003</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7"/>
        <v>#DIV/0!</v>
      </c>
      <c r="C55" s="176">
        <f t="shared" si="16"/>
        <v>0.25</v>
      </c>
      <c r="D55" s="1076">
        <v>0.25</v>
      </c>
      <c r="E55" s="650"/>
      <c r="F55" s="647" t="e">
        <f t="shared" si="15"/>
        <v>#DIV/0!</v>
      </c>
      <c r="G55" s="3341"/>
      <c r="H55" s="1018" t="str">
        <f>项目基本情况!B37</f>
        <v>三级</v>
      </c>
      <c r="I55" s="879">
        <f>SUMIF(修正!A45:A56,H55,修正!E45:E56)</f>
        <v>0.25</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7"/>
        <v>#DIV/0!</v>
      </c>
      <c r="C56" s="176">
        <f t="shared" si="16"/>
        <v>0</v>
      </c>
      <c r="D56" s="1076">
        <v>0.25</v>
      </c>
      <c r="E56" s="223">
        <f>'数据-汇总表'!E11</f>
        <v>0</v>
      </c>
      <c r="F56" s="647" t="e">
        <f t="shared" si="15"/>
        <v>#DIV/0!</v>
      </c>
      <c r="G56" s="2174" t="s">
        <v>2594</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7"/>
        <v>#DIV/0!</v>
      </c>
      <c r="C59" s="176">
        <f t="shared" si="16"/>
        <v>0.2</v>
      </c>
      <c r="D59" s="1076">
        <v>0.25</v>
      </c>
      <c r="E59" s="223">
        <f>'数据-汇总表'!E14</f>
        <v>0</v>
      </c>
      <c r="F59" s="647" t="e">
        <f t="shared" si="15"/>
        <v>#DIV/0!</v>
      </c>
      <c r="G59" s="2174" t="s">
        <v>2589</v>
      </c>
      <c r="H59" s="1018" t="str">
        <f>项目基本情况!B37</f>
        <v>三级</v>
      </c>
      <c r="I59" s="879">
        <f>SUMIF(修正!A45:A56,H59,修正!H45:H56)</f>
        <v>0.2</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7"/>
        <v>#DIV/0!</v>
      </c>
      <c r="C60" s="176">
        <f t="shared" si="16"/>
        <v>0</v>
      </c>
      <c r="D60" s="1076">
        <v>0.25</v>
      </c>
      <c r="E60" s="223">
        <f>'数据-汇总表'!E15</f>
        <v>0</v>
      </c>
      <c r="F60" s="647" t="e">
        <f t="shared" si="15"/>
        <v>#DIV/0!</v>
      </c>
      <c r="G60" s="2175" t="s">
        <v>2594</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1000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70" zoomScaleNormal="80" zoomScaleSheetLayoutView="70" workbookViewId="0">
      <selection activeCell="Q33" sqref="Q33"/>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0" width="12" style="2185"/>
    <col min="21" max="21" width="14" style="2185" bestFit="1" customWidth="1"/>
    <col min="22"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6787.95</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11449</v>
      </c>
      <c r="C2" s="2186" t="s">
        <v>2633</v>
      </c>
      <c r="D2" s="2187" t="s">
        <v>2634</v>
      </c>
      <c r="E2" s="2188" t="s">
        <v>1343</v>
      </c>
      <c r="F2" s="2187" t="s">
        <v>2635</v>
      </c>
      <c r="G2" s="2189" t="str">
        <f>IF(E2="商业",项目基本情况!B37,IF(E2="办公",项目基本情况!C37,IF(E2="住宅",项目基本情况!D37,项目基本情况!E37)))</f>
        <v>三级</v>
      </c>
      <c r="H2" s="2187" t="s">
        <v>2636</v>
      </c>
      <c r="I2" s="2189" t="str">
        <f>IF(E2="商业",项目基本情况!B38,IF(E2="办公",项目基本情况!C38,IF(E2="住宅",项目基本情况!D38,项目基本情况!E38)))</f>
        <v>Ⅲ—04</v>
      </c>
      <c r="J2" s="2190"/>
      <c r="K2" s="1280"/>
      <c r="L2" s="2191"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40679</v>
      </c>
      <c r="U2" s="1375">
        <f>ROUND(D29/9,0)</f>
        <v>684</v>
      </c>
      <c r="V2" s="1374">
        <f ca="1">ROUND(T2*U2/10000,0)</f>
        <v>2782</v>
      </c>
      <c r="W2" s="1378"/>
      <c r="X2" s="1378"/>
      <c r="Y2" s="1378"/>
      <c r="Z2" s="1378"/>
      <c r="AA2" s="1378"/>
      <c r="AB2" s="1378"/>
      <c r="AC2" s="1379"/>
      <c r="AD2" s="1380"/>
      <c r="AE2" s="1380"/>
      <c r="AF2" s="1380"/>
      <c r="AG2" s="1380"/>
      <c r="AH2" s="1380"/>
      <c r="AI2" s="1380"/>
      <c r="AJ2" s="1381"/>
    </row>
    <row r="3" spans="1:36" ht="38.25">
      <c r="A3" s="209" t="s">
        <v>2638</v>
      </c>
      <c r="B3" s="210">
        <f ca="1">ROUND(B2*10000/D1,0)</f>
        <v>16867</v>
      </c>
      <c r="C3" s="2186" t="s">
        <v>2639</v>
      </c>
      <c r="D3" s="2187" t="s">
        <v>2640</v>
      </c>
      <c r="E3" s="2192" t="s">
        <v>3075</v>
      </c>
      <c r="F3" s="2193" t="s">
        <v>3076</v>
      </c>
      <c r="G3" s="855">
        <f>IF(F3="宗地容积率",'数据-汇总表'!I4,IF(F3="估价对象容积率",'数据-汇总表'!I6,'数据-汇总表'!I7))</f>
        <v>6.15</v>
      </c>
      <c r="H3" s="175" t="s">
        <v>2641</v>
      </c>
      <c r="I3" s="881"/>
      <c r="J3" s="2190" t="s">
        <v>2642</v>
      </c>
      <c r="K3" s="1280"/>
      <c r="L3" s="2191" t="s">
        <v>2643</v>
      </c>
      <c r="M3" s="995">
        <f>SUMPRODUCT((区片价!B29:B48=I2)*(区片价!C3:F3=E2)*(区片价!C29:F48))</f>
        <v>22280</v>
      </c>
      <c r="N3" s="997">
        <f>SUMPRODUCT((因素修正幅度!B29:B48=I2)*(因素修正幅度!C3:F3=E2)*(因素修正幅度!C29:F48))</f>
        <v>0.05</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29200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5"/>
      <c r="B4" s="3366"/>
      <c r="C4" s="3366"/>
      <c r="D4" s="3367"/>
      <c r="E4" s="3367"/>
      <c r="F4" s="3367"/>
      <c r="G4" s="3367"/>
      <c r="H4" s="3367"/>
      <c r="I4" s="3367"/>
      <c r="J4" s="3368"/>
      <c r="K4" s="1280"/>
      <c r="L4" s="2191"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23557</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2645</v>
      </c>
      <c r="C5" s="856">
        <f>ROUND(IF(E2="商业",C6*C7+C16,(IF(E2="住宅",C6*C12+C16,C6+C16))),0)</f>
        <v>22244</v>
      </c>
      <c r="D5" s="1524">
        <f>ROUND(C6+C16,0)</f>
        <v>22244</v>
      </c>
      <c r="E5" s="1524"/>
      <c r="F5" s="2196"/>
      <c r="G5" s="2197"/>
      <c r="H5" s="2197"/>
      <c r="I5" s="2197"/>
      <c r="J5" s="2198"/>
      <c r="K5" s="2199"/>
      <c r="L5" s="2191"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18902</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2647</v>
      </c>
      <c r="B6" s="2205" t="s">
        <v>2648</v>
      </c>
      <c r="C6" s="857">
        <f>SUMIF(L1:L12,G2,M1:M12)</f>
        <v>22280</v>
      </c>
      <c r="D6" s="2206" t="s">
        <v>2649</v>
      </c>
      <c r="E6" s="2207"/>
      <c r="F6" s="2207"/>
      <c r="G6" s="2208"/>
      <c r="H6" s="2208"/>
      <c r="I6" s="2208"/>
      <c r="J6" s="2209"/>
      <c r="K6" s="1569"/>
      <c r="L6" s="2191"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16096</v>
      </c>
      <c r="U6" s="1375"/>
      <c r="V6" s="1374">
        <f t="shared" ca="1" si="1"/>
        <v>0</v>
      </c>
      <c r="W6" s="1378"/>
      <c r="X6" s="1378"/>
      <c r="Y6" s="1378"/>
      <c r="Z6" s="1378"/>
      <c r="AA6" s="1378"/>
      <c r="AB6" s="1378"/>
      <c r="AC6" s="2200"/>
      <c r="AD6" s="2201"/>
      <c r="AE6" s="2201"/>
      <c r="AF6" s="2201"/>
      <c r="AG6" s="2201"/>
      <c r="AH6" s="2201"/>
      <c r="AI6" s="2201"/>
      <c r="AJ6" s="2202"/>
    </row>
    <row r="7" spans="1:36" ht="24">
      <c r="A7" s="3346" t="str">
        <f>IF(E2="商业",IF(C8="不临58条商业街","",2),"")</f>
        <v/>
      </c>
      <c r="B7" s="2210" t="s">
        <v>2651</v>
      </c>
      <c r="C7" s="858">
        <f>IF(C8="不临58条商业街",1,ROUND(1+(1.6*E8+1.2*E9+0.8*E10+0.4*E11)*C9,4))</f>
        <v>1</v>
      </c>
      <c r="D7" s="2211" t="s">
        <v>2652</v>
      </c>
      <c r="E7" s="882"/>
      <c r="F7" s="2212"/>
      <c r="G7" s="2213"/>
      <c r="H7" s="2213"/>
      <c r="I7" s="2213"/>
      <c r="J7" s="2214"/>
      <c r="K7" s="1569"/>
      <c r="L7" s="2191"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14154</v>
      </c>
      <c r="U7" s="1375"/>
      <c r="V7" s="1374">
        <f t="shared" ca="1" si="1"/>
        <v>0</v>
      </c>
      <c r="W7" s="1543" t="s">
        <v>2654</v>
      </c>
      <c r="X7" s="1376" t="str">
        <f>G2</f>
        <v>三级</v>
      </c>
      <c r="Y7" s="1376" t="s">
        <v>2655</v>
      </c>
      <c r="Z7" s="1377">
        <f>G3</f>
        <v>6.15</v>
      </c>
      <c r="AA7" s="1378"/>
      <c r="AB7" s="1378"/>
      <c r="AC7" s="1379"/>
      <c r="AD7" s="1380"/>
      <c r="AE7" s="1380"/>
      <c r="AF7" s="1380"/>
      <c r="AG7" s="1380"/>
      <c r="AH7" s="1380"/>
      <c r="AI7" s="1380"/>
      <c r="AJ7" s="1381"/>
    </row>
    <row r="8" spans="1:36" ht="25.5">
      <c r="A8" s="3369"/>
      <c r="B8" s="175" t="s">
        <v>2656</v>
      </c>
      <c r="C8" s="2215" t="s">
        <v>3077</v>
      </c>
      <c r="D8" s="859" t="s">
        <v>139</v>
      </c>
      <c r="E8" s="860" t="e">
        <f>ROUND(C11/E7,4)</f>
        <v>#DIV/0!</v>
      </c>
      <c r="F8" s="2216" t="s">
        <v>2657</v>
      </c>
      <c r="G8" s="2217"/>
      <c r="H8" s="2217"/>
      <c r="I8" s="2217"/>
      <c r="J8" s="2218"/>
      <c r="K8" s="1280"/>
      <c r="L8" s="2191"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2" t="s">
        <v>2659</v>
      </c>
      <c r="X8" s="336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69"/>
      <c r="B9" s="175" t="s">
        <v>2672</v>
      </c>
      <c r="C9" s="861">
        <f>SUMIF(修正!C59:C119,C8,修正!E59:E119)</f>
        <v>0</v>
      </c>
      <c r="D9" s="176" t="s">
        <v>140</v>
      </c>
      <c r="E9" s="176" t="e">
        <f>ROUND(C11/E7,4)</f>
        <v>#DIV/0!</v>
      </c>
      <c r="F9" s="2216" t="s">
        <v>2673</v>
      </c>
      <c r="G9" s="2217"/>
      <c r="H9" s="2217"/>
      <c r="I9" s="2217"/>
      <c r="J9" s="2218"/>
      <c r="K9" s="1280"/>
      <c r="L9" s="2191"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4"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9"/>
      <c r="B10" s="175" t="s">
        <v>2677</v>
      </c>
      <c r="C10" s="176">
        <f>SUMIF(修正!C59:C119,C8,修正!F59:F119)</f>
        <v>0</v>
      </c>
      <c r="D10" s="176" t="s">
        <v>141</v>
      </c>
      <c r="E10" s="176" t="e">
        <f>ROUND(C11/E7,4)</f>
        <v>#DIV/0!</v>
      </c>
      <c r="F10" s="2216" t="s">
        <v>2678</v>
      </c>
      <c r="G10" s="2217"/>
      <c r="H10" s="2217"/>
      <c r="I10" s="2217"/>
      <c r="J10" s="2218"/>
      <c r="K10" s="1280"/>
      <c r="L10" s="2191"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9"/>
      <c r="B11" s="2219" t="s">
        <v>2680</v>
      </c>
      <c r="C11" s="862">
        <f>C10/4</f>
        <v>0</v>
      </c>
      <c r="D11" s="862" t="s">
        <v>142</v>
      </c>
      <c r="E11" s="862" t="e">
        <f>ROUND(C11/E7,4)</f>
        <v>#DIV/0!</v>
      </c>
      <c r="F11" s="2220" t="s">
        <v>2681</v>
      </c>
      <c r="G11" s="2221"/>
      <c r="H11" s="2221"/>
      <c r="I11" s="2221"/>
      <c r="J11" s="2222"/>
      <c r="K11" s="1280"/>
      <c r="L11" s="2191"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4" t="s">
        <v>2683</v>
      </c>
      <c r="X11" s="1386" t="s">
        <v>2684</v>
      </c>
      <c r="Y11" s="1387">
        <f>$G$3</f>
        <v>6.15</v>
      </c>
      <c r="Z11" s="1387">
        <f t="shared" ref="Z11:AJ11" si="3">$G$3</f>
        <v>6.15</v>
      </c>
      <c r="AA11" s="1387">
        <f t="shared" si="3"/>
        <v>6.15</v>
      </c>
      <c r="AB11" s="1387">
        <f t="shared" si="3"/>
        <v>6.15</v>
      </c>
      <c r="AC11" s="1387">
        <f t="shared" si="3"/>
        <v>6.15</v>
      </c>
      <c r="AD11" s="1387">
        <f t="shared" si="3"/>
        <v>6.15</v>
      </c>
      <c r="AE11" s="1387">
        <f t="shared" si="3"/>
        <v>6.15</v>
      </c>
      <c r="AF11" s="1387">
        <f t="shared" si="3"/>
        <v>6.15</v>
      </c>
      <c r="AG11" s="1387">
        <f t="shared" si="3"/>
        <v>6.15</v>
      </c>
      <c r="AH11" s="1387">
        <f t="shared" si="3"/>
        <v>6.15</v>
      </c>
      <c r="AI11" s="1387">
        <f t="shared" si="3"/>
        <v>6.15</v>
      </c>
      <c r="AJ11" s="1387">
        <f t="shared" si="3"/>
        <v>6.15</v>
      </c>
    </row>
    <row r="12" spans="1:36" ht="25.5" thickBot="1">
      <c r="A12" s="3346" t="s">
        <v>2685</v>
      </c>
      <c r="B12" s="2223" t="s">
        <v>2686</v>
      </c>
      <c r="C12" s="858">
        <f>ROUND(C15*D15*E15*F15*G15*H15*I15*J15,4)</f>
        <v>1</v>
      </c>
      <c r="D12" s="2224" t="s">
        <v>2687</v>
      </c>
      <c r="E12" s="2225"/>
      <c r="F12" s="2225"/>
      <c r="G12" s="2226"/>
      <c r="H12" s="2226"/>
      <c r="I12" s="2226"/>
      <c r="J12" s="2227"/>
      <c r="K12" s="1280"/>
      <c r="L12" s="2228"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0"/>
      <c r="B13" s="2229" t="s">
        <v>2690</v>
      </c>
      <c r="C13" s="2230" t="s">
        <v>2691</v>
      </c>
      <c r="D13" s="1535" t="s">
        <v>2692</v>
      </c>
      <c r="E13" s="1535" t="s">
        <v>2693</v>
      </c>
      <c r="F13" s="30" t="s">
        <v>2694</v>
      </c>
      <c r="G13" s="2231" t="s">
        <v>2695</v>
      </c>
      <c r="H13" s="2231" t="s">
        <v>2695</v>
      </c>
      <c r="I13" s="2231" t="s">
        <v>2695</v>
      </c>
      <c r="J13" s="2232" t="s">
        <v>2695</v>
      </c>
      <c r="K13" s="1280"/>
      <c r="L13" s="1280"/>
      <c r="M13" s="1280"/>
      <c r="N13" s="1280"/>
      <c r="O13" s="1280"/>
      <c r="P13" s="1280"/>
      <c r="Q13" s="1280"/>
      <c r="R13" s="1374">
        <v>12</v>
      </c>
      <c r="S13" s="1375"/>
      <c r="T13" s="1374">
        <f t="shared" ca="1" si="0"/>
        <v>0</v>
      </c>
      <c r="U13" s="1375"/>
      <c r="V13" s="1374">
        <f t="shared" ca="1" si="1"/>
        <v>0</v>
      </c>
      <c r="W13" s="3364"/>
      <c r="X13" s="1388"/>
      <c r="Y13" s="1385">
        <f>(-0.163*(Y12^2)-0.59*Y12+7617)*(10^(-4))/Y11</f>
        <v>0.12385365853658536</v>
      </c>
      <c r="Z13" s="1385">
        <f t="shared" ref="Z13:AJ13" si="5">(-0.163*(Z12^2)-0.59*Z12+7617)*(10^(-4))/Z11</f>
        <v>0.12385365853658536</v>
      </c>
      <c r="AA13" s="1385">
        <f t="shared" si="5"/>
        <v>0.12385365853658536</v>
      </c>
      <c r="AB13" s="1385">
        <f t="shared" si="5"/>
        <v>0.12385365853658536</v>
      </c>
      <c r="AC13" s="1385">
        <f t="shared" si="5"/>
        <v>0.12385365853658536</v>
      </c>
      <c r="AD13" s="1385">
        <f t="shared" si="5"/>
        <v>0.12385365853658536</v>
      </c>
      <c r="AE13" s="1385">
        <f t="shared" si="5"/>
        <v>0.12385365853658536</v>
      </c>
      <c r="AF13" s="1385">
        <f t="shared" si="5"/>
        <v>0.12385365853658536</v>
      </c>
      <c r="AG13" s="1385">
        <f t="shared" si="5"/>
        <v>0.12385365853658536</v>
      </c>
      <c r="AH13" s="1385">
        <f t="shared" si="5"/>
        <v>0.12385365853658536</v>
      </c>
      <c r="AI13" s="1385">
        <f t="shared" si="5"/>
        <v>0.12385365853658536</v>
      </c>
      <c r="AJ13" s="1385">
        <f t="shared" si="5"/>
        <v>0.12385365853658536</v>
      </c>
    </row>
    <row r="14" spans="1:36" ht="15">
      <c r="A14" s="3370"/>
      <c r="B14" s="2233"/>
      <c r="C14" s="2234"/>
      <c r="D14" s="2235"/>
      <c r="E14" s="2235"/>
      <c r="F14" s="2236"/>
      <c r="G14" s="2237" t="s">
        <v>2696</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71"/>
      <c r="B15" s="2241" t="s">
        <v>2697</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46" t="s">
        <v>2702</v>
      </c>
      <c r="B16" s="2210" t="s">
        <v>2703</v>
      </c>
      <c r="C16" s="2372">
        <f>ROUND(IF(F17="与级别开发程度一致",0,(G17-E17)/C17),0)</f>
        <v>-36</v>
      </c>
      <c r="D16" s="3359" t="s">
        <v>2707</v>
      </c>
      <c r="E16" s="3360"/>
      <c r="F16" s="3359" t="s">
        <v>2704</v>
      </c>
      <c r="G16" s="3360"/>
      <c r="H16" s="2242" t="s">
        <v>3079</v>
      </c>
      <c r="I16" s="2242" t="s">
        <v>3080</v>
      </c>
      <c r="J16" s="2376" t="s">
        <v>3081</v>
      </c>
      <c r="K16" s="2242" t="s">
        <v>3082</v>
      </c>
      <c r="L16" s="2242" t="s">
        <v>3083</v>
      </c>
      <c r="M16" s="2242" t="s">
        <v>3084</v>
      </c>
      <c r="N16" s="2242"/>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47"/>
      <c r="B17" s="2383" t="s">
        <v>2706</v>
      </c>
      <c r="C17" s="2384">
        <f>SUMPRODUCT((修正!A2:A5=E2)*(修正!B1:M1=G2)*(修正!B2:M5))</f>
        <v>2.5</v>
      </c>
      <c r="D17" s="193" t="str">
        <f>IF(OR(G2="八级",G2="九级",G2="十级",G2="十一级",G2="十二级"),"五通一平","七通一平")</f>
        <v>七通一平</v>
      </c>
      <c r="E17" s="2373">
        <f>SUMPRODUCT((修正!B1:M1=G2)*(修正!B15:M15))</f>
        <v>300</v>
      </c>
      <c r="F17" s="2374" t="s">
        <v>3078</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15</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2709</v>
      </c>
      <c r="C18" s="2379">
        <f>SUMIF(修正!C18:C39,E3,修正!E18:E39)</f>
        <v>1.1000000000000001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2710</v>
      </c>
      <c r="C19" s="863">
        <f>ROUND(IF(H19="按公示增长率计算",SUMPRODUCT((地价!A3:A33=YEAR(G19)&amp;"-"&amp;ROUNDUP(MONTH(G19)/3,0))*(地价!X2:AB2=E2)*(地价!X3:AB33)),IF(H19="地价指数",M20/M19,(1+I19)^O19)),4)</f>
        <v>1.3420000000000001</v>
      </c>
      <c r="D19" s="2252" t="s">
        <v>2711</v>
      </c>
      <c r="E19" s="864">
        <v>41640</v>
      </c>
      <c r="F19" s="2252" t="s">
        <v>2712</v>
      </c>
      <c r="G19" s="865">
        <f>'数据-取费表'!B2</f>
        <v>44267</v>
      </c>
      <c r="H19" s="2253" t="s">
        <v>3085</v>
      </c>
      <c r="I19" s="866" t="str">
        <f>IF(H19="季度增幅（自定义）",SUMIF(N21:N24,E2,O21:O24),"")</f>
        <v/>
      </c>
      <c r="J19" s="2250"/>
      <c r="K19" s="1287"/>
      <c r="L19" s="2254" t="s">
        <v>2713</v>
      </c>
      <c r="M19" s="1497">
        <f>ROUND(SUMIF(地价!B2:F2,E2,地价!B33:F33),0)</f>
        <v>258</v>
      </c>
      <c r="N19" s="2255"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2715</v>
      </c>
      <c r="C20" s="868">
        <f ca="1">ROUND(POWER(1+G20,J20-I20)*(POWER(1+G20,I20)-1)/(POWER(1+G20,J20)-1),4)</f>
        <v>0.66500000000000004</v>
      </c>
      <c r="D20" s="2259" t="s">
        <v>2716</v>
      </c>
      <c r="E20" s="1506">
        <f ca="1">存贷款利率!D4/100</f>
        <v>3.85E-2</v>
      </c>
      <c r="F20" s="2259" t="s">
        <v>2708</v>
      </c>
      <c r="G20" s="873">
        <f ca="1">SUMIF(M26:P26,E2,M28:P28)</f>
        <v>4.8000000000000001E-2</v>
      </c>
      <c r="H20" s="2259" t="s">
        <v>2717</v>
      </c>
      <c r="I20" s="874">
        <f>SUMIF('数据-取费表'!C6:C15,E2,'数据-取费表'!F6:F15)/COUNTIF('数据-取费表'!C6:C15,E2)</f>
        <v>17.66</v>
      </c>
      <c r="J20" s="875">
        <f>IF(E2="住宅",70,IF(E2="商业",40,50))</f>
        <v>40</v>
      </c>
      <c r="K20" s="1287"/>
      <c r="L20" s="2260" t="s">
        <v>2718</v>
      </c>
      <c r="M20" s="1498">
        <f>ROUND(SUMPRODUCT((地价!A4:A33=YEAR(G19)&amp;"-"&amp;ROUNDUP(MONTH(G19)/3,0))*(地价!B2:F2=E2)*(地价!B4:F33)),0)</f>
        <v>346</v>
      </c>
      <c r="N20" s="2261" t="s">
        <v>2719</v>
      </c>
      <c r="O20" s="2262" t="s">
        <v>2720</v>
      </c>
      <c r="P20" s="2263" t="s">
        <v>2721</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3086</v>
      </c>
      <c r="C21" s="876">
        <f>IF(B21="容积率修正",IF(G3&lt;=10,D22,J22),C23)</f>
        <v>0.78649999999999998</v>
      </c>
      <c r="D21" s="2266"/>
      <c r="E21" s="2266"/>
      <c r="F21" s="2266"/>
      <c r="G21" s="2266"/>
      <c r="H21" s="2266"/>
      <c r="I21" s="2266"/>
      <c r="J21" s="2267"/>
      <c r="K21" s="1287"/>
      <c r="L21" s="3020"/>
      <c r="M21" s="3020"/>
      <c r="N21" s="2268" t="s">
        <v>2722</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2723</v>
      </c>
      <c r="B22" s="2269" t="s">
        <v>2724</v>
      </c>
      <c r="C22" s="1537" t="s">
        <v>2725</v>
      </c>
      <c r="D22" s="1537">
        <f>IF(E22=G22,F22,IF(G3&lt;=10,ROUND(F22+(H22-F22)*(G3-E22)/(G22-E22),4),"——"))</f>
        <v>0.78649999999999998</v>
      </c>
      <c r="E22" s="855">
        <f>ROUNDDOWN(G3,1)</f>
        <v>6.1</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5">
        <f>ROUNDUP(G3,1)</f>
        <v>6.1999999999999993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37" t="s">
        <v>155</v>
      </c>
      <c r="J22" s="877" t="str">
        <f>IF(G3&gt;10,D113,"——")</f>
        <v>——</v>
      </c>
      <c r="K22" s="1287"/>
      <c r="L22" s="3020"/>
      <c r="M22" s="3020"/>
      <c r="N22" s="2268" t="s">
        <v>2726</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2727</v>
      </c>
      <c r="B23" s="2270" t="s">
        <v>2728</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2729</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2730</v>
      </c>
      <c r="C24" s="863">
        <f>SUMIF(A45:A88,E2,B45:B88)</f>
        <v>1</v>
      </c>
      <c r="D24" s="2249"/>
      <c r="E24" s="2276"/>
      <c r="F24" s="2276"/>
      <c r="G24" s="2276"/>
      <c r="H24" s="2276"/>
      <c r="I24" s="2276"/>
      <c r="J24" s="2277"/>
      <c r="K24" s="1287"/>
      <c r="L24" s="3020"/>
      <c r="M24" s="3020"/>
      <c r="N24" s="2278" t="s">
        <v>2731</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2732</v>
      </c>
      <c r="C25" s="869"/>
      <c r="D25" s="2213"/>
      <c r="E25" s="2213"/>
      <c r="F25" s="2280"/>
      <c r="G25" s="2213"/>
      <c r="H25" s="2213"/>
      <c r="I25" s="2213"/>
      <c r="J25" s="2214"/>
      <c r="K25" s="1280"/>
      <c r="L25" s="2184"/>
      <c r="M25" s="2184"/>
      <c r="N25" s="3015" t="s">
        <v>2733</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2734</v>
      </c>
      <c r="C26" s="2543">
        <f ca="1">IF(B21="容积率修正",E29+SUM(E33:E39),SUM(V2:V16)+SUM(E33:E39))</f>
        <v>11449</v>
      </c>
      <c r="D26" s="2282"/>
      <c r="E26" s="2238"/>
      <c r="F26" s="2283"/>
      <c r="G26" s="2238"/>
      <c r="H26" s="2238"/>
      <c r="I26" s="2238"/>
      <c r="J26" s="2284"/>
      <c r="K26" s="1280"/>
      <c r="L26" s="3018" t="s">
        <v>2634</v>
      </c>
      <c r="M26" s="2211" t="s">
        <v>2698</v>
      </c>
      <c r="N26" s="2211" t="s">
        <v>2699</v>
      </c>
      <c r="O26" s="2211" t="s">
        <v>2700</v>
      </c>
      <c r="P26" s="3019" t="s">
        <v>2701</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2735</v>
      </c>
      <c r="C27" s="870">
        <f ca="1">E30+SUM(I33:I39)</f>
        <v>221</v>
      </c>
      <c r="D27" s="2286"/>
      <c r="E27" s="2287"/>
      <c r="F27" s="2288"/>
      <c r="G27" s="2287"/>
      <c r="H27" s="2287"/>
      <c r="I27" s="2287"/>
      <c r="J27" s="2289"/>
      <c r="K27" s="1280"/>
      <c r="L27" s="2244"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2736</v>
      </c>
      <c r="C28" s="2292" t="s">
        <v>2737</v>
      </c>
      <c r="D28" s="2292" t="s">
        <v>2738</v>
      </c>
      <c r="E28" s="2293" t="s">
        <v>2739</v>
      </c>
      <c r="F28" s="2294"/>
      <c r="G28" s="2226"/>
      <c r="H28" s="2226"/>
      <c r="I28" s="2226"/>
      <c r="J28" s="2227"/>
      <c r="K28" s="1280"/>
      <c r="L28" s="2245"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2740</v>
      </c>
      <c r="C29" s="180">
        <f ca="1">ROUND(C5*C18*C19*C20*C21*C24,0)</f>
        <v>17174</v>
      </c>
      <c r="D29" s="2297">
        <f>'数据-汇总表'!F19</f>
        <v>6152.41</v>
      </c>
      <c r="E29" s="879">
        <f ca="1">ROUND(C29*D29/10000,0)</f>
        <v>10566</v>
      </c>
      <c r="F29" s="2298" t="s">
        <v>2741</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2742</v>
      </c>
      <c r="C30" s="193">
        <f ca="1">ROUND(IF(E2="工业",C29*M39,C29*M38),0)</f>
        <v>4294</v>
      </c>
      <c r="D30" s="2303"/>
      <c r="E30" s="879">
        <f ca="1">ROUND(C30*D30/10000,0)</f>
        <v>0</v>
      </c>
      <c r="F30" s="2304" t="s">
        <v>2743</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2744</v>
      </c>
      <c r="C31" s="2309" t="s">
        <v>2745</v>
      </c>
      <c r="D31" s="2226"/>
      <c r="E31" s="2309"/>
      <c r="F31" s="2309"/>
      <c r="G31" s="2224" t="s">
        <v>2746</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2737</v>
      </c>
      <c r="D32" s="455" t="s">
        <v>2738</v>
      </c>
      <c r="E32" s="455" t="s">
        <v>2739</v>
      </c>
      <c r="F32" s="348" t="s">
        <v>2747</v>
      </c>
      <c r="G32" s="2312" t="s">
        <v>2737</v>
      </c>
      <c r="H32" s="2312" t="s">
        <v>2738</v>
      </c>
      <c r="I32" s="2312"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56"/>
      <c r="B33" s="2313" t="s">
        <v>2748</v>
      </c>
      <c r="C33" s="180">
        <f ca="1">ROUND(D5*C19*C20*C24*F33,0)</f>
        <v>13896</v>
      </c>
      <c r="D33" s="2297">
        <f>'数据-汇总表'!G19</f>
        <v>635.54</v>
      </c>
      <c r="E33" s="176">
        <f ca="1">ROUND(C33*D33/10000,0)</f>
        <v>883</v>
      </c>
      <c r="F33" s="176">
        <f>SUMIF(修正!A45:A56,G2,修正!B45:B56)</f>
        <v>0.7</v>
      </c>
      <c r="G33" s="176">
        <f t="shared" ref="G33" ca="1" si="6">ROUND(IF(E2="工业",C33*$M$39,C33*$M$38),0)</f>
        <v>3474</v>
      </c>
      <c r="H33" s="176">
        <f>D33</f>
        <v>635.54</v>
      </c>
      <c r="I33" s="176">
        <f ca="1">ROUND(G33*H33/10000,0)</f>
        <v>221</v>
      </c>
      <c r="J33" s="3361"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57"/>
      <c r="B34" s="2230" t="s">
        <v>2749</v>
      </c>
      <c r="C34" s="180">
        <f ca="1">ROUND(D5*C19*C20*C24*F34,0)</f>
        <v>7940</v>
      </c>
      <c r="D34" s="2297"/>
      <c r="E34" s="176">
        <f t="shared" ref="E34:E39" ca="1" si="7">ROUND(C34*D34/10000,0)</f>
        <v>0</v>
      </c>
      <c r="F34" s="176">
        <f>SUMIF(修正!A45:A56,G2,修正!C45:C56)</f>
        <v>0.4</v>
      </c>
      <c r="G34" s="176">
        <f ca="1">ROUND(IF(E2="工业",C34*$M$39,C34*$M$38),0)</f>
        <v>1985</v>
      </c>
      <c r="H34" s="176">
        <f t="shared" ref="H34:H39" si="8">D34</f>
        <v>0</v>
      </c>
      <c r="I34" s="176">
        <f t="shared" ref="I34:I39" ca="1" si="9">ROUND(G34*H34/10000,0)</f>
        <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57"/>
      <c r="B35" s="2230" t="s">
        <v>2750</v>
      </c>
      <c r="C35" s="180">
        <f ca="1">ROUND(D5*C19*C20*C24*F35,0)</f>
        <v>5558</v>
      </c>
      <c r="D35" s="2297"/>
      <c r="E35" s="176">
        <f t="shared" ca="1" si="7"/>
        <v>0</v>
      </c>
      <c r="F35" s="176">
        <f>SUMIF(修正!A45:A56,G2,修正!D45:D56)</f>
        <v>0.28000000000000003</v>
      </c>
      <c r="G35" s="176">
        <f ca="1">ROUND(IF(E2="工业",C35*$M$39,C35*$M$38),0)</f>
        <v>1390</v>
      </c>
      <c r="H35" s="176">
        <f t="shared" si="8"/>
        <v>0</v>
      </c>
      <c r="I35" s="176">
        <f t="shared" ca="1" si="9"/>
        <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58"/>
      <c r="B36" s="2230" t="s">
        <v>2751</v>
      </c>
      <c r="C36" s="180">
        <f ca="1">ROUND(D5*C19*C20*C24*F36,0)</f>
        <v>4963</v>
      </c>
      <c r="D36" s="2297"/>
      <c r="E36" s="176">
        <f t="shared" ca="1" si="7"/>
        <v>0</v>
      </c>
      <c r="F36" s="176">
        <f>SUMIF(修正!A45:A56,G2,修正!E45:E56)</f>
        <v>0.25</v>
      </c>
      <c r="G36" s="176">
        <f ca="1">ROUND(IF(E2="工业",C36*$M$39,C36*$M$38),0)</f>
        <v>1241</v>
      </c>
      <c r="H36" s="176">
        <f t="shared" si="8"/>
        <v>0</v>
      </c>
      <c r="I36" s="176">
        <f t="shared" ca="1" si="9"/>
        <v>0</v>
      </c>
      <c r="J36" s="335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2752</v>
      </c>
      <c r="C37" s="176">
        <f ca="1">ROUND(D5*C19*C20*C24*F37,0)</f>
        <v>4963</v>
      </c>
      <c r="D37" s="2297"/>
      <c r="E37" s="176">
        <f t="shared" ca="1" si="7"/>
        <v>0</v>
      </c>
      <c r="F37" s="180">
        <f>SUMIF(修正!A45:A56,G2,修正!F45:F56)</f>
        <v>0.25</v>
      </c>
      <c r="G37" s="176">
        <f ca="1">ROUND(IF(E2="工业",C37*$M$39,C37*$M$38),0)</f>
        <v>1241</v>
      </c>
      <c r="H37" s="176">
        <f t="shared" si="8"/>
        <v>0</v>
      </c>
      <c r="I37" s="176">
        <f t="shared" ca="1" si="9"/>
        <v>0</v>
      </c>
      <c r="J37" s="2314"/>
      <c r="K37" s="1280"/>
      <c r="L37" s="2316" t="s">
        <v>2753</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2754</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2755</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2756</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2701</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2861</v>
      </c>
      <c r="C41" s="348">
        <f ca="1">ROUND(POWER(1+E41,H41-G41)*(POWER(1+E41,G41)-1)/(POWER(1+E41,H41)-1),4)</f>
        <v>0</v>
      </c>
      <c r="D41" s="176" t="s">
        <v>2708</v>
      </c>
      <c r="E41" s="2370">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2757</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2758</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2759</v>
      </c>
      <c r="B47" s="1536" t="s">
        <v>2760</v>
      </c>
      <c r="C47" s="1536" t="s">
        <v>2761</v>
      </c>
      <c r="D47" s="1536" t="s">
        <v>2762</v>
      </c>
      <c r="E47" s="758" t="s">
        <v>2763</v>
      </c>
      <c r="F47" s="2331" t="s">
        <v>2764</v>
      </c>
      <c r="G47" s="1536" t="s">
        <v>754</v>
      </c>
      <c r="H47" s="2332"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2767</v>
      </c>
      <c r="B48" s="2333" t="str">
        <f>估价对象房地状况!C4</f>
        <v>估价对象位于XX商圈，周边商业氛围成熟，人流量大，商业繁华度好</v>
      </c>
      <c r="C48" s="2235"/>
      <c r="D48" s="1196">
        <f t="shared" ref="D48:D56" si="10">SUMIF($J$47:$N$47,C48,J48:N48)</f>
        <v>0</v>
      </c>
      <c r="E48" s="760">
        <f>ROUND(SUM(D48:D56),4)</f>
        <v>0</v>
      </c>
      <c r="F48" s="2001">
        <f>IF(E2="商业",SUMIF(L1:L12,G2,N1:N12),"——")</f>
        <v>0.05</v>
      </c>
      <c r="G48" s="1194"/>
      <c r="H48" s="1198">
        <f t="shared" ref="H48:H56" si="11">IFERROR(ROUNDDOWN($F$48*I48/2,4),"——")</f>
        <v>8.2000000000000007E-3</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2768</v>
      </c>
      <c r="B49" s="2334" t="str">
        <f>估价对象房地状况!C18</f>
        <v>估价对象周边道路状况、公共交通通达情况、停车便捷程度，综合评价交通便捷度较好</v>
      </c>
      <c r="C49" s="2235"/>
      <c r="D49" s="1196">
        <f t="shared" si="10"/>
        <v>0</v>
      </c>
      <c r="E49" s="761"/>
      <c r="F49" s="2001"/>
      <c r="G49" s="1194"/>
      <c r="H49" s="1198">
        <f t="shared" si="11"/>
        <v>6.1999999999999998E-3</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2769</v>
      </c>
      <c r="B50" s="2334">
        <f>估价对象房地状况!C19</f>
        <v>0</v>
      </c>
      <c r="C50" s="2235"/>
      <c r="D50" s="1196">
        <f t="shared" si="10"/>
        <v>0</v>
      </c>
      <c r="E50" s="761"/>
      <c r="F50" s="2001"/>
      <c r="G50" s="1194"/>
      <c r="H50" s="1198">
        <f t="shared" si="11"/>
        <v>1.1999999999999999E-3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2770</v>
      </c>
      <c r="B51" s="2335" t="s">
        <v>2771</v>
      </c>
      <c r="C51" s="2235"/>
      <c r="D51" s="1196">
        <f t="shared" si="10"/>
        <v>0</v>
      </c>
      <c r="E51" s="761"/>
      <c r="F51" s="2001"/>
      <c r="G51" s="1194"/>
      <c r="H51" s="1198">
        <f t="shared" si="11"/>
        <v>1.1999999999999999E-3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2772</v>
      </c>
      <c r="B52" s="2334">
        <f>估价对象房地状况!C24</f>
        <v>0</v>
      </c>
      <c r="C52" s="2235"/>
      <c r="D52" s="1196">
        <f t="shared" si="10"/>
        <v>0</v>
      </c>
      <c r="E52" s="761"/>
      <c r="F52" s="2001"/>
      <c r="G52" s="1194"/>
      <c r="H52" s="1198">
        <f t="shared" si="11"/>
        <v>2E-3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2773</v>
      </c>
      <c r="B53" s="2336" t="s">
        <v>2774</v>
      </c>
      <c r="C53" s="2235"/>
      <c r="D53" s="1196">
        <f t="shared" si="10"/>
        <v>0</v>
      </c>
      <c r="E53" s="761"/>
      <c r="F53" s="2001"/>
      <c r="G53" s="1194"/>
      <c r="H53" s="1198">
        <f t="shared" si="11"/>
        <v>6.9999999999999999E-4</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2775</v>
      </c>
      <c r="B54" s="1495" t="str">
        <f>估价对象房地状况!C21</f>
        <v>估价对象所在区域公共配套设施齐备情况</v>
      </c>
      <c r="C54" s="2235"/>
      <c r="D54" s="1196">
        <f t="shared" si="10"/>
        <v>0</v>
      </c>
      <c r="E54" s="761"/>
      <c r="F54" s="2001"/>
      <c r="G54" s="1194"/>
      <c r="H54" s="1198">
        <f t="shared" si="11"/>
        <v>1.1999999999999999E-3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2776</v>
      </c>
      <c r="B55" s="2334" t="str">
        <f>估价对象房地状况!C22</f>
        <v>估价对象所在区域基础设施水平</v>
      </c>
      <c r="C55" s="2235"/>
      <c r="D55" s="1196">
        <f t="shared" si="10"/>
        <v>0</v>
      </c>
      <c r="E55" s="761"/>
      <c r="F55" s="2001"/>
      <c r="G55" s="1194"/>
      <c r="H55" s="1198">
        <f t="shared" si="11"/>
        <v>2.5000000000000001E-3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2777</v>
      </c>
      <c r="B56" s="2339" t="str">
        <f>估价对象房地状况!C20</f>
        <v>区域自然环境：；人文环境；综合评价环境状况一般</v>
      </c>
      <c r="C56" s="2235"/>
      <c r="D56" s="1196">
        <f t="shared" si="10"/>
        <v>0</v>
      </c>
      <c r="E56" s="764"/>
      <c r="F56" s="2001"/>
      <c r="G56" s="1194"/>
      <c r="H56" s="1198">
        <f t="shared" si="11"/>
        <v>1.5E-3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2778</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2759</v>
      </c>
      <c r="B58" s="1536"/>
      <c r="C58" s="1536" t="s">
        <v>2761</v>
      </c>
      <c r="D58" s="1536" t="s">
        <v>2762</v>
      </c>
      <c r="E58" s="758" t="s">
        <v>2763</v>
      </c>
      <c r="F58" s="2331" t="s">
        <v>2779</v>
      </c>
      <c r="G58" s="1536" t="s">
        <v>754</v>
      </c>
      <c r="H58" s="2332"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2780</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2768</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2769</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2770</v>
      </c>
      <c r="B62" s="2335" t="s">
        <v>2771</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2772</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2773</v>
      </c>
      <c r="B64" s="2336" t="s">
        <v>2774</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2775</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2776</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2777</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2781</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2759</v>
      </c>
      <c r="B69" s="1536"/>
      <c r="C69" s="1536" t="s">
        <v>2761</v>
      </c>
      <c r="D69" s="1536" t="s">
        <v>2762</v>
      </c>
      <c r="E69" s="758" t="s">
        <v>2763</v>
      </c>
      <c r="F69" s="2331" t="s">
        <v>2779</v>
      </c>
      <c r="G69" s="1536" t="s">
        <v>754</v>
      </c>
      <c r="H69" s="2332"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2782</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2768</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2769</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2783</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2775</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2776</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2773</v>
      </c>
      <c r="B76" s="2336" t="s">
        <v>2774</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2777</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2784</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2785</v>
      </c>
      <c r="B79" s="2327">
        <f>1+E81</f>
        <v>1</v>
      </c>
      <c r="C79" s="753"/>
      <c r="D79" s="753"/>
      <c r="E79" s="754"/>
      <c r="F79" s="2329"/>
      <c r="G79" s="6"/>
      <c r="H79" s="6"/>
      <c r="I79" s="6"/>
      <c r="J79" s="7"/>
      <c r="K79" s="7"/>
      <c r="L79" s="7"/>
      <c r="M79" s="7"/>
      <c r="N79" s="7"/>
      <c r="Z79" s="2185"/>
      <c r="AA79" s="2251"/>
      <c r="AG79" s="1282"/>
      <c r="AK79" s="2251"/>
    </row>
    <row r="80" spans="1:37" ht="24.75">
      <c r="A80" s="2330" t="s">
        <v>2759</v>
      </c>
      <c r="B80" s="1536"/>
      <c r="C80" s="1536" t="s">
        <v>2761</v>
      </c>
      <c r="D80" s="1536" t="s">
        <v>2762</v>
      </c>
      <c r="E80" s="758" t="s">
        <v>2763</v>
      </c>
      <c r="F80" s="2331" t="s">
        <v>2779</v>
      </c>
      <c r="G80" s="1536" t="s">
        <v>754</v>
      </c>
      <c r="H80" s="2332" t="s">
        <v>2765</v>
      </c>
      <c r="I80" s="1536" t="s">
        <v>2766</v>
      </c>
      <c r="J80" s="560" t="s">
        <v>2417</v>
      </c>
      <c r="K80" s="560" t="s">
        <v>2418</v>
      </c>
      <c r="L80" s="560" t="s">
        <v>2419</v>
      </c>
      <c r="M80" s="560" t="s">
        <v>2420</v>
      </c>
      <c r="N80" s="560" t="s">
        <v>2421</v>
      </c>
      <c r="Z80" s="2185"/>
      <c r="AA80" s="2251"/>
      <c r="AG80" s="1282"/>
      <c r="AK80" s="2251"/>
    </row>
    <row r="81" spans="1:37" ht="38.25">
      <c r="A81" s="2330" t="s">
        <v>2786</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2768</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2769</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2783</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2775</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2776</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2773</v>
      </c>
      <c r="B87" s="2336" t="s">
        <v>2787</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2788</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48" t="s">
        <v>2789</v>
      </c>
      <c r="B90" s="3348"/>
      <c r="C90" s="3348"/>
      <c r="D90" s="3348"/>
      <c r="E90" s="3348"/>
      <c r="F90" s="3348"/>
      <c r="G90" s="3348"/>
      <c r="H90" s="3348"/>
      <c r="I90" s="3348"/>
      <c r="J90" s="3348"/>
      <c r="K90" s="2344"/>
      <c r="L90" s="2344"/>
      <c r="M90" s="2344"/>
      <c r="N90" s="2344"/>
    </row>
    <row r="91" spans="1:37">
      <c r="A91" s="3350" t="s">
        <v>2790</v>
      </c>
      <c r="B91" s="3350" t="s">
        <v>2791</v>
      </c>
      <c r="C91" s="2298" t="s">
        <v>2792</v>
      </c>
      <c r="D91" s="2299"/>
      <c r="E91" s="2299"/>
      <c r="F91" s="2299"/>
      <c r="G91" s="2299"/>
      <c r="H91" s="2299"/>
      <c r="I91" s="2299"/>
      <c r="J91" s="2345"/>
      <c r="K91" s="2346"/>
      <c r="L91" s="2346"/>
      <c r="M91" s="2346"/>
      <c r="N91" s="2346"/>
    </row>
    <row r="92" spans="1:37">
      <c r="A92" s="3350"/>
      <c r="B92" s="335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1" t="s">
        <v>2793</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2"/>
      <c r="B99" s="2347" t="s">
        <v>2676</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5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1" t="s">
        <v>2794</v>
      </c>
      <c r="B101" s="2351" t="s">
        <v>2795</v>
      </c>
      <c r="C101" s="2352">
        <f>$G$3</f>
        <v>6.15</v>
      </c>
      <c r="D101" s="2352">
        <f t="shared" ref="D101:N101" si="31">$G$3</f>
        <v>6.15</v>
      </c>
      <c r="E101" s="2352">
        <f t="shared" si="31"/>
        <v>6.15</v>
      </c>
      <c r="F101" s="2352">
        <f t="shared" si="31"/>
        <v>6.15</v>
      </c>
      <c r="G101" s="2352">
        <f t="shared" si="31"/>
        <v>6.15</v>
      </c>
      <c r="H101" s="2352">
        <f t="shared" si="31"/>
        <v>6.15</v>
      </c>
      <c r="I101" s="2352">
        <f t="shared" si="31"/>
        <v>6.15</v>
      </c>
      <c r="J101" s="2352">
        <f t="shared" si="31"/>
        <v>6.15</v>
      </c>
      <c r="K101" s="2352">
        <f t="shared" si="31"/>
        <v>6.15</v>
      </c>
      <c r="L101" s="2352">
        <f t="shared" si="31"/>
        <v>6.15</v>
      </c>
      <c r="M101" s="2352">
        <f t="shared" si="31"/>
        <v>6.15</v>
      </c>
      <c r="N101" s="2352">
        <f t="shared" si="31"/>
        <v>6.15</v>
      </c>
    </row>
    <row r="102" spans="1:14">
      <c r="A102" s="3352"/>
      <c r="B102" s="2347">
        <v>1</v>
      </c>
      <c r="C102" s="2348">
        <f>1.9362/C101</f>
        <v>0.31482926829268287</v>
      </c>
      <c r="D102" s="2348">
        <f>1.9362/D101</f>
        <v>0.31482926829268287</v>
      </c>
      <c r="E102" s="2348">
        <f>1.8629/E101</f>
        <v>0.30291056910569103</v>
      </c>
      <c r="F102" s="2348">
        <f>1.8629/F101</f>
        <v>0.30291056910569103</v>
      </c>
      <c r="G102" s="2348">
        <f>1.8629/G101</f>
        <v>0.30291056910569103</v>
      </c>
      <c r="H102" s="2348">
        <f>1.8629/H101</f>
        <v>0.30291056910569103</v>
      </c>
      <c r="I102" s="2348">
        <f>1.8629/I101</f>
        <v>0.30291056910569103</v>
      </c>
      <c r="J102" s="2348">
        <f>1.942/J101</f>
        <v>0.3157723577235772</v>
      </c>
      <c r="K102" s="2348">
        <f>1.942/K101</f>
        <v>0.3157723577235772</v>
      </c>
      <c r="L102" s="2348">
        <f>1.942/L101</f>
        <v>0.3157723577235772</v>
      </c>
      <c r="M102" s="2348">
        <f>1.942/M101</f>
        <v>0.3157723577235772</v>
      </c>
      <c r="N102" s="2348">
        <f>1.942/N101</f>
        <v>0.3157723577235772</v>
      </c>
    </row>
    <row r="103" spans="1:14">
      <c r="A103" s="3352"/>
      <c r="B103" s="2347">
        <v>2</v>
      </c>
      <c r="C103" s="2348">
        <f>1.4198/C101</f>
        <v>0.23086178861788617</v>
      </c>
      <c r="D103" s="2348">
        <f>1.4198/D101</f>
        <v>0.23086178861788617</v>
      </c>
      <c r="E103" s="2348">
        <f>1.3372/E101</f>
        <v>0.21743089430894308</v>
      </c>
      <c r="F103" s="2348">
        <f>1.3372/F101</f>
        <v>0.21743089430894308</v>
      </c>
      <c r="G103" s="2348">
        <f>1.3372/G101</f>
        <v>0.21743089430894308</v>
      </c>
      <c r="H103" s="2348">
        <f>1.3372/H101</f>
        <v>0.21743089430894308</v>
      </c>
      <c r="I103" s="2348">
        <f>1.3372/I101</f>
        <v>0.21743089430894308</v>
      </c>
      <c r="J103" s="2348">
        <f>1.2799/J101</f>
        <v>0.20811382113821136</v>
      </c>
      <c r="K103" s="2348">
        <f>1.2799/K101</f>
        <v>0.20811382113821136</v>
      </c>
      <c r="L103" s="2348">
        <f>1.2799/L101</f>
        <v>0.20811382113821136</v>
      </c>
      <c r="M103" s="2348">
        <f>1.2799/M101</f>
        <v>0.20811382113821136</v>
      </c>
      <c r="N103" s="2348">
        <f>1.2799/N101</f>
        <v>0.20811382113821136</v>
      </c>
    </row>
    <row r="104" spans="1:14">
      <c r="A104" s="3352"/>
      <c r="B104" s="2347">
        <v>3</v>
      </c>
      <c r="C104" s="2348">
        <f>1.1594/C101</f>
        <v>0.18852032520325201</v>
      </c>
      <c r="D104" s="2348">
        <f>1.1594/D101</f>
        <v>0.18852032520325201</v>
      </c>
      <c r="E104" s="2348">
        <f>1.0788/E101</f>
        <v>0.17541463414634145</v>
      </c>
      <c r="F104" s="2348">
        <f>1.0788/F101</f>
        <v>0.17541463414634145</v>
      </c>
      <c r="G104" s="2348">
        <f>1.0788/G101</f>
        <v>0.17541463414634145</v>
      </c>
      <c r="H104" s="2348">
        <f>1.0788/H101</f>
        <v>0.17541463414634145</v>
      </c>
      <c r="I104" s="2348">
        <f>1.0788/I101</f>
        <v>0.17541463414634145</v>
      </c>
      <c r="J104" s="2348">
        <f>1.0072/J101</f>
        <v>0.16377235772357723</v>
      </c>
      <c r="K104" s="2348">
        <f>1.0072/K101</f>
        <v>0.16377235772357723</v>
      </c>
      <c r="L104" s="2348">
        <f>1.0072/L101</f>
        <v>0.16377235772357723</v>
      </c>
      <c r="M104" s="2348">
        <f>1.0072/M101</f>
        <v>0.16377235772357723</v>
      </c>
      <c r="N104" s="2348">
        <f>1.0072/N101</f>
        <v>0.16377235772357723</v>
      </c>
    </row>
    <row r="105" spans="1:14">
      <c r="A105" s="3352"/>
      <c r="B105" s="2347">
        <v>4</v>
      </c>
      <c r="C105" s="2348">
        <f>0.9622/C101</f>
        <v>0.15645528455284552</v>
      </c>
      <c r="D105" s="2348">
        <f>0.9622/D101</f>
        <v>0.15645528455284552</v>
      </c>
      <c r="E105" s="2348">
        <f>0.8656/E101</f>
        <v>0.1407479674796748</v>
      </c>
      <c r="F105" s="2348">
        <f>0.8656/F101</f>
        <v>0.1407479674796748</v>
      </c>
      <c r="G105" s="2348">
        <f>0.8656/G101</f>
        <v>0.1407479674796748</v>
      </c>
      <c r="H105" s="2348">
        <f>0.8656/H101</f>
        <v>0.1407479674796748</v>
      </c>
      <c r="I105" s="2348">
        <f>0.8656/I101</f>
        <v>0.1407479674796748</v>
      </c>
      <c r="J105" s="2348">
        <f>0.7525/J101</f>
        <v>0.12235772357723576</v>
      </c>
      <c r="K105" s="2348">
        <f>0.7525/K101</f>
        <v>0.12235772357723576</v>
      </c>
      <c r="L105" s="2348">
        <f>0.7525/L101</f>
        <v>0.12235772357723576</v>
      </c>
      <c r="M105" s="2348">
        <f>0.7525/M101</f>
        <v>0.12235772357723576</v>
      </c>
      <c r="N105" s="2348">
        <f>0.7525/N101</f>
        <v>0.12235772357723576</v>
      </c>
    </row>
    <row r="106" spans="1:14">
      <c r="A106" s="3352"/>
      <c r="B106" s="2347">
        <v>5</v>
      </c>
      <c r="C106" s="2348">
        <f>0.8417/C101</f>
        <v>0.13686178861788617</v>
      </c>
      <c r="D106" s="2348">
        <f>0.8417/D101</f>
        <v>0.13686178861788617</v>
      </c>
      <c r="E106" s="2348">
        <f>0.7371/E101</f>
        <v>0.11985365853658536</v>
      </c>
      <c r="F106" s="2348">
        <f>0.7371/F101</f>
        <v>0.11985365853658536</v>
      </c>
      <c r="G106" s="2348">
        <f>0.7371/G101</f>
        <v>0.11985365853658536</v>
      </c>
      <c r="H106" s="2348">
        <f>0.7371/H101</f>
        <v>0.11985365853658536</v>
      </c>
      <c r="I106" s="2348">
        <f>0.7371/I101</f>
        <v>0.11985365853658536</v>
      </c>
      <c r="J106" s="2348">
        <f>0.5659/J101</f>
        <v>9.2016260162601615E-2</v>
      </c>
      <c r="K106" s="2348">
        <f>0.5659/K101</f>
        <v>9.2016260162601615E-2</v>
      </c>
      <c r="L106" s="2348">
        <f>0.5659/L101</f>
        <v>9.2016260162601615E-2</v>
      </c>
      <c r="M106" s="2348">
        <f>0.5659/M101</f>
        <v>9.2016260162601615E-2</v>
      </c>
      <c r="N106" s="2348">
        <f>0.5659/N101</f>
        <v>9.2016260162601615E-2</v>
      </c>
    </row>
    <row r="107" spans="1:14">
      <c r="A107" s="3352"/>
      <c r="B107" s="2347">
        <v>6</v>
      </c>
      <c r="C107" s="2348">
        <f>0.7608/C101</f>
        <v>0.12370731707317073</v>
      </c>
      <c r="D107" s="2348">
        <f>0.7608/D101</f>
        <v>0.12370731707317073</v>
      </c>
      <c r="E107" s="2348">
        <f>0.6482/E101</f>
        <v>0.10539837398373983</v>
      </c>
      <c r="F107" s="2348">
        <f>0.6482/F101</f>
        <v>0.10539837398373983</v>
      </c>
      <c r="G107" s="2348">
        <f>0.6482/G101</f>
        <v>0.10539837398373983</v>
      </c>
      <c r="H107" s="2348">
        <f>0.6482/H101</f>
        <v>0.10539837398373983</v>
      </c>
      <c r="I107" s="2348">
        <f>0.6482/I101</f>
        <v>0.10539837398373983</v>
      </c>
      <c r="J107" s="2348">
        <f>0.4525/J101</f>
        <v>7.3577235772357724E-2</v>
      </c>
      <c r="K107" s="2348">
        <f>0.4525/K101</f>
        <v>7.3577235772357724E-2</v>
      </c>
      <c r="L107" s="2348">
        <f>0.4525/L101</f>
        <v>7.3577235772357724E-2</v>
      </c>
      <c r="M107" s="2348">
        <f>0.4525/M101</f>
        <v>7.3577235772357724E-2</v>
      </c>
      <c r="N107" s="2348">
        <f>0.4525/N101</f>
        <v>7.3577235772357724E-2</v>
      </c>
    </row>
    <row r="108" spans="1:14">
      <c r="A108" s="3352"/>
      <c r="B108" s="3354" t="s">
        <v>2796</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53"/>
      <c r="B109" s="3355"/>
      <c r="C109" s="2350">
        <f>(-0.163*(C108^2)-0.59*C108+7617)*(10^(-4))/C101</f>
        <v>0.12385365853658536</v>
      </c>
      <c r="D109" s="2350">
        <f>(-0.163*(D108^2)-0.59*D108+7617)*(10^(-4))/D101</f>
        <v>0.12385365853658536</v>
      </c>
      <c r="E109" s="2350">
        <f>(-0.161*(E108^2)-7.509*E108+6533)*(10^(-4))/E101</f>
        <v>0.10622764227642276</v>
      </c>
      <c r="F109" s="2350">
        <f>(-0.161*(F108^2)-7.509*F108+6533)*(10^(-4))/F101</f>
        <v>0.10622764227642276</v>
      </c>
      <c r="G109" s="2350">
        <f>(-0.161*(G108^2)-7.509*G108+6533)*(10^(-4))/G101</f>
        <v>0.10622764227642276</v>
      </c>
      <c r="H109" s="2350">
        <f>(-0.161*(H108^2)-7.509*H108+6533)*(10^(-4))/H101</f>
        <v>0.10622764227642276</v>
      </c>
      <c r="I109" s="2350">
        <f>(-0.161*(I108^2)-7.509*I108+6533)*(10^(-4))/I101</f>
        <v>0.10622764227642276</v>
      </c>
      <c r="J109" s="2350">
        <f>(-0.214*(J108^2)-21.991*J108+4665)*(10^(-4))/J101</f>
        <v>7.5853658536585364E-2</v>
      </c>
      <c r="K109" s="2350">
        <f>(-0.214*(K108^2)-21.991*K108+4665)*(10^(-4))/K101</f>
        <v>7.5853658536585364E-2</v>
      </c>
      <c r="L109" s="2350">
        <f>(-0.214*(L108^2)-21.991*L108+4665)*(10^(-4))/L101</f>
        <v>7.5853658536585364E-2</v>
      </c>
      <c r="M109" s="2350">
        <f>(-0.214*(M108^2)-21.991*M108+4665)*(10^(-4))/M101</f>
        <v>7.5853658536585364E-2</v>
      </c>
      <c r="N109" s="2350">
        <f>(-0.214*(N108^2)-21.991*N108+4665)*(10^(-4))/N101</f>
        <v>7.5853658536585364E-2</v>
      </c>
    </row>
    <row r="110" spans="1:14">
      <c r="A110" s="3349" t="s">
        <v>2797</v>
      </c>
      <c r="B110" s="3349"/>
      <c r="C110" s="3349"/>
      <c r="D110" s="3349"/>
      <c r="E110" s="3349"/>
      <c r="F110" s="3349"/>
      <c r="G110" s="3349"/>
      <c r="H110" s="3349"/>
      <c r="I110" s="3349"/>
      <c r="J110" s="3349"/>
      <c r="K110" s="2353"/>
      <c r="L110" s="2353"/>
      <c r="M110" s="2353"/>
      <c r="N110" s="2353"/>
    </row>
    <row r="112" spans="1:14" ht="13.5" thickBot="1"/>
    <row r="113" spans="1:13" ht="25.5" thickBot="1">
      <c r="A113" s="842" t="s">
        <v>2798</v>
      </c>
      <c r="B113" s="1197">
        <f>G3</f>
        <v>6.15</v>
      </c>
      <c r="C113" s="843" t="s">
        <v>2799</v>
      </c>
      <c r="D113" s="844">
        <f>SUMPRODUCT((A115:A118=F113)*(B114:M114=H113)*B115:M118)</f>
        <v>0.7661</v>
      </c>
      <c r="E113" s="2189" t="s">
        <v>2634</v>
      </c>
      <c r="F113" s="2355" t="str">
        <f>E2</f>
        <v>商业</v>
      </c>
      <c r="G113" s="2189" t="s">
        <v>2635</v>
      </c>
      <c r="H113" s="2355" t="str">
        <f>G2</f>
        <v>三级</v>
      </c>
      <c r="I113" s="2189"/>
      <c r="J113" s="2356"/>
      <c r="K113" s="2356"/>
      <c r="L113" s="2356"/>
      <c r="M113" s="2356"/>
    </row>
    <row r="114" spans="1:13">
      <c r="A114" s="847"/>
      <c r="B114" s="2357" t="s">
        <v>2800</v>
      </c>
      <c r="C114" s="2357" t="s">
        <v>2801</v>
      </c>
      <c r="D114" s="2357" t="s">
        <v>2802</v>
      </c>
      <c r="E114" s="2358" t="s">
        <v>2803</v>
      </c>
      <c r="F114" s="2358" t="s">
        <v>2804</v>
      </c>
      <c r="G114" s="2358" t="s">
        <v>2805</v>
      </c>
      <c r="H114" s="2359" t="s">
        <v>2806</v>
      </c>
      <c r="I114" s="2359" t="s">
        <v>2807</v>
      </c>
      <c r="J114" s="2360" t="s">
        <v>2808</v>
      </c>
      <c r="K114" s="2360" t="s">
        <v>2809</v>
      </c>
      <c r="L114" s="2360" t="s">
        <v>2810</v>
      </c>
      <c r="M114" s="2361" t="s">
        <v>2811</v>
      </c>
    </row>
    <row r="115" spans="1:13">
      <c r="A115" s="848" t="s">
        <v>2698</v>
      </c>
      <c r="B115" s="849">
        <f>ROUND(0.9335-0.0094*B113,4)</f>
        <v>0.87570000000000003</v>
      </c>
      <c r="C115" s="849">
        <f>B115</f>
        <v>0.87570000000000003</v>
      </c>
      <c r="D115" s="849">
        <f>ROUND(0.8331-0.0109*B113,4)</f>
        <v>0.7661</v>
      </c>
      <c r="E115" s="849">
        <f>D115</f>
        <v>0.7661</v>
      </c>
      <c r="F115" s="849">
        <f>E115</f>
        <v>0.7661</v>
      </c>
      <c r="G115" s="849">
        <f>F115</f>
        <v>0.7661</v>
      </c>
      <c r="H115" s="849">
        <f>G115</f>
        <v>0.7661</v>
      </c>
      <c r="I115" s="849">
        <f>ROUND(0.689-0.0155*B113,4)</f>
        <v>0.59370000000000001</v>
      </c>
      <c r="J115" s="849">
        <f t="shared" ref="J115:M118" si="33">I115</f>
        <v>0.59370000000000001</v>
      </c>
      <c r="K115" s="849">
        <f t="shared" si="33"/>
        <v>0.59370000000000001</v>
      </c>
      <c r="L115" s="849">
        <f t="shared" si="33"/>
        <v>0.59370000000000001</v>
      </c>
      <c r="M115" s="850">
        <f t="shared" si="33"/>
        <v>0.59370000000000001</v>
      </c>
    </row>
    <row r="116" spans="1:13">
      <c r="A116" s="848" t="s">
        <v>2699</v>
      </c>
      <c r="B116" s="849">
        <f>ROUND(0.949-0.012*B113,4)</f>
        <v>0.87519999999999998</v>
      </c>
      <c r="C116" s="849">
        <f>B116</f>
        <v>0.87519999999999998</v>
      </c>
      <c r="D116" s="849">
        <f>ROUND(0.8567-0.013*B113,4)</f>
        <v>0.77680000000000005</v>
      </c>
      <c r="E116" s="849">
        <f t="shared" ref="E116:H117" si="34">D116</f>
        <v>0.77680000000000005</v>
      </c>
      <c r="F116" s="849">
        <f t="shared" si="34"/>
        <v>0.77680000000000005</v>
      </c>
      <c r="G116" s="849">
        <f t="shared" si="34"/>
        <v>0.77680000000000005</v>
      </c>
      <c r="H116" s="849">
        <f t="shared" si="34"/>
        <v>0.77680000000000005</v>
      </c>
      <c r="I116" s="849">
        <f>ROUND(0.7694-0.014*B113,4)</f>
        <v>0.68330000000000002</v>
      </c>
      <c r="J116" s="849">
        <f t="shared" si="33"/>
        <v>0.68330000000000002</v>
      </c>
      <c r="K116" s="849">
        <f t="shared" si="33"/>
        <v>0.68330000000000002</v>
      </c>
      <c r="L116" s="849">
        <f t="shared" si="33"/>
        <v>0.68330000000000002</v>
      </c>
      <c r="M116" s="850">
        <f t="shared" si="33"/>
        <v>0.68330000000000002</v>
      </c>
    </row>
    <row r="117" spans="1:13">
      <c r="A117" s="848" t="s">
        <v>2700</v>
      </c>
      <c r="B117" s="849">
        <f>ROUND(0.8808-0.006*B113,4)</f>
        <v>0.84389999999999998</v>
      </c>
      <c r="C117" s="849">
        <f>B117</f>
        <v>0.84389999999999998</v>
      </c>
      <c r="D117" s="849">
        <f>ROUND(0.8748-0.008*B113,4)</f>
        <v>0.8256</v>
      </c>
      <c r="E117" s="849">
        <f t="shared" si="34"/>
        <v>0.8256</v>
      </c>
      <c r="F117" s="849">
        <f t="shared" si="34"/>
        <v>0.8256</v>
      </c>
      <c r="G117" s="849">
        <f t="shared" si="34"/>
        <v>0.8256</v>
      </c>
      <c r="H117" s="849">
        <f t="shared" si="34"/>
        <v>0.8256</v>
      </c>
      <c r="I117" s="849">
        <f>ROUND(0.7412-0.0095*B113,4)</f>
        <v>0.68279999999999996</v>
      </c>
      <c r="J117" s="849">
        <f t="shared" si="33"/>
        <v>0.68279999999999996</v>
      </c>
      <c r="K117" s="849">
        <f t="shared" si="33"/>
        <v>0.68279999999999996</v>
      </c>
      <c r="L117" s="849">
        <f t="shared" si="33"/>
        <v>0.68279999999999996</v>
      </c>
      <c r="M117" s="850">
        <f t="shared" si="33"/>
        <v>0.68279999999999996</v>
      </c>
    </row>
    <row r="118" spans="1:13" ht="13.5" thickBot="1">
      <c r="A118" s="670" t="s">
        <v>2701</v>
      </c>
      <c r="B118" s="851">
        <f>ROUND(0.7275-0.01*B113,4)</f>
        <v>0.66600000000000004</v>
      </c>
      <c r="C118" s="851">
        <f>B118</f>
        <v>0.66600000000000004</v>
      </c>
      <c r="D118" s="851">
        <f>ROUND(0.7043-0.012*B113,4)</f>
        <v>0.63049999999999995</v>
      </c>
      <c r="E118" s="851">
        <f>D118</f>
        <v>0.63049999999999995</v>
      </c>
      <c r="F118" s="851">
        <f>E118</f>
        <v>0.63049999999999995</v>
      </c>
      <c r="G118" s="851">
        <f>ROUND(0.6299-0.0122*B113,4)</f>
        <v>0.55489999999999995</v>
      </c>
      <c r="H118" s="851">
        <f>G118</f>
        <v>0.55489999999999995</v>
      </c>
      <c r="I118" s="851">
        <f>ROUND(0.5667-0.0136*B113,4)</f>
        <v>0.48309999999999997</v>
      </c>
      <c r="J118" s="851">
        <f t="shared" si="33"/>
        <v>0.48309999999999997</v>
      </c>
      <c r="K118" s="851">
        <f t="shared" si="33"/>
        <v>0.48309999999999997</v>
      </c>
      <c r="L118" s="851">
        <f t="shared" si="33"/>
        <v>0.48309999999999997</v>
      </c>
      <c r="M118" s="852">
        <f t="shared" si="33"/>
        <v>0.48309999999999997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2" t="s">
        <v>183</v>
      </c>
      <c r="B18" s="821" t="s">
        <v>560</v>
      </c>
      <c r="C18" s="822" t="s">
        <v>561</v>
      </c>
      <c r="D18" s="823"/>
      <c r="E18" s="821">
        <v>1</v>
      </c>
      <c r="F18" s="824" t="s">
        <v>562</v>
      </c>
      <c r="G18" s="825"/>
      <c r="H18" s="817"/>
      <c r="I18" s="817"/>
    </row>
    <row r="19" spans="1:9" s="826" customFormat="1" ht="19.5" customHeight="1">
      <c r="A19" s="3372"/>
      <c r="B19" s="3372" t="s">
        <v>563</v>
      </c>
      <c r="C19" s="822" t="s">
        <v>564</v>
      </c>
      <c r="D19" s="823"/>
      <c r="E19" s="821">
        <v>0.9</v>
      </c>
      <c r="F19" s="824" t="s">
        <v>565</v>
      </c>
      <c r="G19" s="825"/>
      <c r="H19" s="817"/>
      <c r="I19" s="817"/>
    </row>
    <row r="20" spans="1:9" s="826" customFormat="1" ht="19.5" customHeight="1">
      <c r="A20" s="3372"/>
      <c r="B20" s="3372"/>
      <c r="C20" s="822" t="s">
        <v>566</v>
      </c>
      <c r="D20" s="823"/>
      <c r="E20" s="821">
        <v>1.1000000000000001</v>
      </c>
      <c r="F20" s="824" t="s">
        <v>567</v>
      </c>
      <c r="G20" s="825"/>
      <c r="H20" s="817"/>
      <c r="I20" s="817"/>
    </row>
    <row r="21" spans="1:9" s="826" customFormat="1" ht="19.5" customHeight="1">
      <c r="A21" s="3372"/>
      <c r="B21" s="3372"/>
      <c r="C21" s="822" t="s">
        <v>568</v>
      </c>
      <c r="D21" s="823"/>
      <c r="E21" s="821">
        <v>0.8</v>
      </c>
      <c r="F21" s="824" t="s">
        <v>569</v>
      </c>
      <c r="G21" s="825"/>
      <c r="H21" s="817"/>
      <c r="I21" s="817"/>
    </row>
    <row r="22" spans="1:9" s="826" customFormat="1" ht="19.5" customHeight="1">
      <c r="A22" s="3372"/>
      <c r="B22" s="3372"/>
      <c r="C22" s="822" t="s">
        <v>570</v>
      </c>
      <c r="D22" s="823"/>
      <c r="E22" s="821">
        <v>0.5</v>
      </c>
      <c r="F22" s="824"/>
      <c r="G22" s="825"/>
      <c r="H22" s="817"/>
      <c r="I22" s="817"/>
    </row>
    <row r="23" spans="1:9" s="826" customFormat="1" ht="19.5" customHeight="1">
      <c r="A23" s="3372" t="s">
        <v>184</v>
      </c>
      <c r="B23" s="821" t="s">
        <v>560</v>
      </c>
      <c r="C23" s="822" t="s">
        <v>571</v>
      </c>
      <c r="D23" s="823"/>
      <c r="E23" s="821">
        <v>1</v>
      </c>
      <c r="F23" s="824" t="s">
        <v>572</v>
      </c>
      <c r="G23" s="825"/>
      <c r="H23" s="817"/>
      <c r="I23" s="817"/>
    </row>
    <row r="24" spans="1:9" s="826" customFormat="1" ht="19.5" customHeight="1">
      <c r="A24" s="3372"/>
      <c r="B24" s="3372" t="s">
        <v>563</v>
      </c>
      <c r="C24" s="822" t="s">
        <v>573</v>
      </c>
      <c r="D24" s="823"/>
      <c r="E24" s="821">
        <v>0.5</v>
      </c>
      <c r="F24" s="824"/>
      <c r="G24" s="825"/>
      <c r="H24" s="817"/>
      <c r="I24" s="817"/>
    </row>
    <row r="25" spans="1:9" s="826" customFormat="1" ht="19.5" customHeight="1">
      <c r="A25" s="3372"/>
      <c r="B25" s="3372"/>
      <c r="C25" s="822" t="s">
        <v>574</v>
      </c>
      <c r="D25" s="823"/>
      <c r="E25" s="821">
        <v>1.1000000000000001</v>
      </c>
      <c r="F25" s="824"/>
      <c r="G25" s="825"/>
      <c r="H25" s="817"/>
      <c r="I25" s="817"/>
    </row>
    <row r="26" spans="1:9" s="826" customFormat="1" ht="19.5" customHeight="1">
      <c r="A26" s="3372"/>
      <c r="B26" s="3372"/>
      <c r="C26" s="822" t="s">
        <v>575</v>
      </c>
      <c r="D26" s="823"/>
      <c r="E26" s="821">
        <v>1.1000000000000001</v>
      </c>
      <c r="F26" s="824"/>
      <c r="G26" s="825"/>
      <c r="H26" s="817"/>
      <c r="I26" s="817"/>
    </row>
    <row r="27" spans="1:9" s="826" customFormat="1" ht="19.5" customHeight="1">
      <c r="A27" s="3372"/>
      <c r="B27" s="3372"/>
      <c r="C27" s="822" t="s">
        <v>576</v>
      </c>
      <c r="D27" s="823"/>
      <c r="E27" s="821">
        <v>0.9</v>
      </c>
      <c r="F27" s="824" t="s">
        <v>577</v>
      </c>
      <c r="G27" s="825"/>
      <c r="H27" s="817"/>
      <c r="I27" s="817"/>
    </row>
    <row r="28" spans="1:9" s="826" customFormat="1" ht="19.5" customHeight="1">
      <c r="A28" s="3372"/>
      <c r="B28" s="3372"/>
      <c r="C28" s="822" t="s">
        <v>578</v>
      </c>
      <c r="D28" s="823"/>
      <c r="E28" s="821">
        <v>0.9</v>
      </c>
      <c r="F28" s="824" t="s">
        <v>579</v>
      </c>
      <c r="G28" s="825"/>
      <c r="H28" s="817"/>
      <c r="I28" s="817"/>
    </row>
    <row r="29" spans="1:9" s="826" customFormat="1" ht="19.5" customHeight="1">
      <c r="A29" s="3372"/>
      <c r="B29" s="3372"/>
      <c r="C29" s="822" t="s">
        <v>580</v>
      </c>
      <c r="D29" s="823"/>
      <c r="E29" s="821">
        <v>0.9</v>
      </c>
      <c r="F29" s="824" t="s">
        <v>581</v>
      </c>
      <c r="G29" s="825"/>
      <c r="H29" s="817"/>
      <c r="I29" s="817"/>
    </row>
    <row r="30" spans="1:9" s="826" customFormat="1" ht="19.5" customHeight="1">
      <c r="A30" s="3372"/>
      <c r="B30" s="3372"/>
      <c r="C30" s="822" t="s">
        <v>582</v>
      </c>
      <c r="D30" s="823"/>
      <c r="E30" s="821">
        <v>0.9</v>
      </c>
      <c r="F30" s="824" t="s">
        <v>583</v>
      </c>
      <c r="G30" s="825"/>
      <c r="H30" s="817"/>
      <c r="I30" s="817"/>
    </row>
    <row r="31" spans="1:9" s="826" customFormat="1" ht="19.5" customHeight="1">
      <c r="A31" s="3372"/>
      <c r="B31" s="3372"/>
      <c r="C31" s="822" t="s">
        <v>584</v>
      </c>
      <c r="D31" s="823"/>
      <c r="E31" s="821">
        <v>0.8</v>
      </c>
      <c r="F31" s="824" t="s">
        <v>585</v>
      </c>
      <c r="G31" s="825"/>
      <c r="H31" s="817"/>
      <c r="I31" s="817"/>
    </row>
    <row r="32" spans="1:9" s="826" customFormat="1" ht="19.5" customHeight="1">
      <c r="A32" s="3372"/>
      <c r="B32" s="3372"/>
      <c r="C32" s="822" t="s">
        <v>586</v>
      </c>
      <c r="D32" s="823"/>
      <c r="E32" s="821">
        <v>0.8</v>
      </c>
      <c r="F32" s="824" t="s">
        <v>587</v>
      </c>
      <c r="G32" s="825"/>
      <c r="H32" s="817"/>
      <c r="I32" s="817"/>
    </row>
    <row r="33" spans="1:9" s="826" customFormat="1" ht="19.5" customHeight="1">
      <c r="A33" s="3372" t="s">
        <v>185</v>
      </c>
      <c r="B33" s="821" t="s">
        <v>560</v>
      </c>
      <c r="C33" s="822" t="s">
        <v>588</v>
      </c>
      <c r="D33" s="823"/>
      <c r="E33" s="821">
        <v>1</v>
      </c>
      <c r="F33" s="824" t="s">
        <v>589</v>
      </c>
      <c r="G33" s="825"/>
      <c r="H33" s="817"/>
      <c r="I33" s="817"/>
    </row>
    <row r="34" spans="1:9" s="826" customFormat="1" ht="19.5" customHeight="1">
      <c r="A34" s="3372"/>
      <c r="B34" s="821" t="s">
        <v>563</v>
      </c>
      <c r="C34" s="822" t="s">
        <v>590</v>
      </c>
      <c r="D34" s="823"/>
      <c r="E34" s="821">
        <v>1.5</v>
      </c>
      <c r="F34" s="824" t="s">
        <v>591</v>
      </c>
      <c r="G34" s="825"/>
      <c r="H34" s="817"/>
      <c r="I34" s="817"/>
    </row>
    <row r="35" spans="1:9" s="826" customFormat="1" ht="19.5" customHeight="1">
      <c r="A35" s="3372" t="s">
        <v>186</v>
      </c>
      <c r="B35" s="821" t="s">
        <v>560</v>
      </c>
      <c r="C35" s="822" t="s">
        <v>592</v>
      </c>
      <c r="D35" s="823"/>
      <c r="E35" s="821">
        <v>1</v>
      </c>
      <c r="F35" s="824" t="s">
        <v>593</v>
      </c>
      <c r="G35" s="825"/>
      <c r="H35" s="817"/>
      <c r="I35" s="817"/>
    </row>
    <row r="36" spans="1:9" s="826" customFormat="1" ht="19.5" customHeight="1">
      <c r="A36" s="3372"/>
      <c r="B36" s="3372" t="s">
        <v>563</v>
      </c>
      <c r="C36" s="822" t="s">
        <v>594</v>
      </c>
      <c r="D36" s="823"/>
      <c r="E36" s="821">
        <v>1</v>
      </c>
      <c r="F36" s="824" t="s">
        <v>595</v>
      </c>
      <c r="G36" s="825"/>
      <c r="H36" s="817"/>
      <c r="I36" s="817"/>
    </row>
    <row r="37" spans="1:9" s="826" customFormat="1" ht="19.5" customHeight="1">
      <c r="A37" s="3372"/>
      <c r="B37" s="3372"/>
      <c r="C37" s="822" t="s">
        <v>596</v>
      </c>
      <c r="D37" s="823"/>
      <c r="E37" s="821">
        <v>1.5</v>
      </c>
      <c r="F37" s="824" t="s">
        <v>597</v>
      </c>
      <c r="G37" s="825"/>
      <c r="H37" s="817"/>
      <c r="I37" s="817"/>
    </row>
    <row r="38" spans="1:9" s="826" customFormat="1" ht="19.5" customHeight="1">
      <c r="A38" s="3372"/>
      <c r="B38" s="3372"/>
      <c r="C38" s="822" t="s">
        <v>598</v>
      </c>
      <c r="D38" s="823"/>
      <c r="E38" s="821">
        <v>1</v>
      </c>
      <c r="F38" s="824" t="s">
        <v>599</v>
      </c>
      <c r="G38" s="825"/>
      <c r="H38" s="817"/>
      <c r="I38" s="817"/>
    </row>
    <row r="39" spans="1:9" s="826" customFormat="1" ht="19.5" customHeight="1">
      <c r="A39" s="3372"/>
      <c r="B39" s="33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2" t="s">
        <v>614</v>
      </c>
      <c r="C61" s="757" t="s">
        <v>615</v>
      </c>
      <c r="D61" s="757" t="s">
        <v>616</v>
      </c>
      <c r="E61" s="834">
        <v>0.5</v>
      </c>
      <c r="F61" s="821">
        <v>80</v>
      </c>
    </row>
    <row r="62" spans="1:8" s="817" customFormat="1" ht="24">
      <c r="A62" s="821">
        <v>2</v>
      </c>
      <c r="B62" s="3372"/>
      <c r="C62" s="757" t="s">
        <v>617</v>
      </c>
      <c r="D62" s="757" t="s">
        <v>618</v>
      </c>
      <c r="E62" s="834">
        <v>0.5</v>
      </c>
      <c r="F62" s="821">
        <v>80</v>
      </c>
    </row>
    <row r="63" spans="1:8" s="817" customFormat="1" ht="36">
      <c r="A63" s="821">
        <v>3</v>
      </c>
      <c r="B63" s="3372"/>
      <c r="C63" s="757" t="s">
        <v>619</v>
      </c>
      <c r="D63" s="757" t="s">
        <v>620</v>
      </c>
      <c r="E63" s="834">
        <v>0.5</v>
      </c>
      <c r="F63" s="821">
        <v>80</v>
      </c>
    </row>
    <row r="64" spans="1:8" s="817" customFormat="1" ht="36">
      <c r="A64" s="821">
        <v>4</v>
      </c>
      <c r="B64" s="3372"/>
      <c r="C64" s="757" t="s">
        <v>621</v>
      </c>
      <c r="D64" s="757" t="s">
        <v>622</v>
      </c>
      <c r="E64" s="834">
        <v>0.4</v>
      </c>
      <c r="F64" s="821">
        <v>60</v>
      </c>
    </row>
    <row r="65" spans="1:6" s="817" customFormat="1" ht="36">
      <c r="A65" s="821">
        <v>5</v>
      </c>
      <c r="B65" s="3372"/>
      <c r="C65" s="757" t="s">
        <v>623</v>
      </c>
      <c r="D65" s="757" t="s">
        <v>624</v>
      </c>
      <c r="E65" s="834">
        <v>0.2</v>
      </c>
      <c r="F65" s="821">
        <v>30</v>
      </c>
    </row>
    <row r="66" spans="1:6" s="817" customFormat="1" ht="36">
      <c r="A66" s="821">
        <v>6</v>
      </c>
      <c r="B66" s="3372"/>
      <c r="C66" s="757" t="s">
        <v>625</v>
      </c>
      <c r="D66" s="757" t="s">
        <v>626</v>
      </c>
      <c r="E66" s="834">
        <v>0.3</v>
      </c>
      <c r="F66" s="821">
        <v>50</v>
      </c>
    </row>
    <row r="67" spans="1:6" s="817" customFormat="1" ht="36">
      <c r="A67" s="821">
        <v>7</v>
      </c>
      <c r="B67" s="3372"/>
      <c r="C67" s="757" t="s">
        <v>627</v>
      </c>
      <c r="D67" s="757" t="s">
        <v>628</v>
      </c>
      <c r="E67" s="834">
        <v>0.2</v>
      </c>
      <c r="F67" s="821">
        <v>30</v>
      </c>
    </row>
    <row r="68" spans="1:6" s="817" customFormat="1" ht="36">
      <c r="A68" s="821">
        <v>8</v>
      </c>
      <c r="B68" s="3372"/>
      <c r="C68" s="757" t="s">
        <v>629</v>
      </c>
      <c r="D68" s="757" t="s">
        <v>630</v>
      </c>
      <c r="E68" s="834">
        <v>0.2</v>
      </c>
      <c r="F68" s="821">
        <v>30</v>
      </c>
    </row>
    <row r="69" spans="1:6" s="817" customFormat="1" ht="36">
      <c r="A69" s="821">
        <v>9</v>
      </c>
      <c r="B69" s="3372"/>
      <c r="C69" s="757" t="s">
        <v>631</v>
      </c>
      <c r="D69" s="757" t="s">
        <v>632</v>
      </c>
      <c r="E69" s="834">
        <v>0.2</v>
      </c>
      <c r="F69" s="821">
        <v>30</v>
      </c>
    </row>
    <row r="70" spans="1:6" s="817" customFormat="1" ht="48">
      <c r="A70" s="821">
        <v>10</v>
      </c>
      <c r="B70" s="3372"/>
      <c r="C70" s="757" t="s">
        <v>633</v>
      </c>
      <c r="D70" s="757" t="s">
        <v>634</v>
      </c>
      <c r="E70" s="834">
        <v>0.2</v>
      </c>
      <c r="F70" s="821">
        <v>30</v>
      </c>
    </row>
    <row r="71" spans="1:6" s="817" customFormat="1" ht="48">
      <c r="A71" s="821">
        <v>11</v>
      </c>
      <c r="B71" s="3372"/>
      <c r="C71" s="757" t="s">
        <v>635</v>
      </c>
      <c r="D71" s="757" t="s">
        <v>636</v>
      </c>
      <c r="E71" s="834">
        <v>0.2</v>
      </c>
      <c r="F71" s="821">
        <v>30</v>
      </c>
    </row>
    <row r="72" spans="1:6" s="817" customFormat="1" ht="36">
      <c r="A72" s="821">
        <v>12</v>
      </c>
      <c r="B72" s="3372"/>
      <c r="C72" s="757" t="s">
        <v>637</v>
      </c>
      <c r="D72" s="757" t="s">
        <v>638</v>
      </c>
      <c r="E72" s="834">
        <v>0.5</v>
      </c>
      <c r="F72" s="821">
        <v>80</v>
      </c>
    </row>
    <row r="73" spans="1:6" s="817" customFormat="1" ht="24">
      <c r="A73" s="821">
        <v>13</v>
      </c>
      <c r="B73" s="3372"/>
      <c r="C73" s="757" t="s">
        <v>639</v>
      </c>
      <c r="D73" s="757" t="s">
        <v>640</v>
      </c>
      <c r="E73" s="834">
        <v>0.4</v>
      </c>
      <c r="F73" s="821">
        <v>60</v>
      </c>
    </row>
    <row r="74" spans="1:6" s="817" customFormat="1" ht="24">
      <c r="A74" s="821">
        <v>14</v>
      </c>
      <c r="B74" s="3372"/>
      <c r="C74" s="757" t="s">
        <v>641</v>
      </c>
      <c r="D74" s="757" t="s">
        <v>642</v>
      </c>
      <c r="E74" s="834">
        <v>0.2</v>
      </c>
      <c r="F74" s="821">
        <v>30</v>
      </c>
    </row>
    <row r="75" spans="1:6" s="817" customFormat="1" ht="24">
      <c r="A75" s="821">
        <v>15</v>
      </c>
      <c r="B75" s="3372"/>
      <c r="C75" s="757" t="s">
        <v>643</v>
      </c>
      <c r="D75" s="757" t="s">
        <v>644</v>
      </c>
      <c r="E75" s="834">
        <v>0.2</v>
      </c>
      <c r="F75" s="821">
        <v>30</v>
      </c>
    </row>
    <row r="76" spans="1:6" s="817" customFormat="1" ht="24">
      <c r="A76" s="821">
        <v>16</v>
      </c>
      <c r="B76" s="3372" t="s">
        <v>645</v>
      </c>
      <c r="C76" s="757" t="s">
        <v>646</v>
      </c>
      <c r="D76" s="757" t="s">
        <v>647</v>
      </c>
      <c r="E76" s="834">
        <v>0.5</v>
      </c>
      <c r="F76" s="821">
        <v>80</v>
      </c>
    </row>
    <row r="77" spans="1:6" s="817" customFormat="1" ht="24">
      <c r="A77" s="821">
        <v>17</v>
      </c>
      <c r="B77" s="3372"/>
      <c r="C77" s="757" t="s">
        <v>648</v>
      </c>
      <c r="D77" s="757" t="s">
        <v>649</v>
      </c>
      <c r="E77" s="834">
        <v>0.5</v>
      </c>
      <c r="F77" s="821">
        <v>80</v>
      </c>
    </row>
    <row r="78" spans="1:6" s="817" customFormat="1" ht="24">
      <c r="A78" s="821">
        <v>18</v>
      </c>
      <c r="B78" s="3372"/>
      <c r="C78" s="757" t="s">
        <v>650</v>
      </c>
      <c r="D78" s="757" t="s">
        <v>651</v>
      </c>
      <c r="E78" s="834">
        <v>0.2</v>
      </c>
      <c r="F78" s="821">
        <v>30</v>
      </c>
    </row>
    <row r="79" spans="1:6" s="817" customFormat="1" ht="24">
      <c r="A79" s="821">
        <v>19</v>
      </c>
      <c r="B79" s="3372"/>
      <c r="C79" s="757" t="s">
        <v>652</v>
      </c>
      <c r="D79" s="757" t="s">
        <v>653</v>
      </c>
      <c r="E79" s="834">
        <v>0.5</v>
      </c>
      <c r="F79" s="821">
        <v>80</v>
      </c>
    </row>
    <row r="80" spans="1:6" s="817" customFormat="1" ht="36">
      <c r="A80" s="821">
        <v>20</v>
      </c>
      <c r="B80" s="3372"/>
      <c r="C80" s="757" t="s">
        <v>654</v>
      </c>
      <c r="D80" s="757" t="s">
        <v>655</v>
      </c>
      <c r="E80" s="834">
        <v>0.2</v>
      </c>
      <c r="F80" s="821">
        <v>30</v>
      </c>
    </row>
    <row r="81" spans="1:6" s="817" customFormat="1" ht="36">
      <c r="A81" s="821">
        <v>21</v>
      </c>
      <c r="B81" s="3372"/>
      <c r="C81" s="757" t="s">
        <v>656</v>
      </c>
      <c r="D81" s="757" t="s">
        <v>657</v>
      </c>
      <c r="E81" s="834">
        <v>0.2</v>
      </c>
      <c r="F81" s="821">
        <v>30</v>
      </c>
    </row>
    <row r="82" spans="1:6" s="817" customFormat="1" ht="48">
      <c r="A82" s="821">
        <v>22</v>
      </c>
      <c r="B82" s="3372"/>
      <c r="C82" s="757" t="s">
        <v>658</v>
      </c>
      <c r="D82" s="757" t="s">
        <v>659</v>
      </c>
      <c r="E82" s="834">
        <v>0.2</v>
      </c>
      <c r="F82" s="821">
        <v>30</v>
      </c>
    </row>
    <row r="83" spans="1:6" s="817" customFormat="1" ht="48">
      <c r="A83" s="821">
        <v>23</v>
      </c>
      <c r="B83" s="3372"/>
      <c r="C83" s="757" t="s">
        <v>660</v>
      </c>
      <c r="D83" s="757" t="s">
        <v>661</v>
      </c>
      <c r="E83" s="834">
        <v>0.2</v>
      </c>
      <c r="F83" s="821">
        <v>30</v>
      </c>
    </row>
    <row r="84" spans="1:6" s="817" customFormat="1" ht="36">
      <c r="A84" s="821">
        <v>24</v>
      </c>
      <c r="B84" s="3372"/>
      <c r="C84" s="757" t="s">
        <v>662</v>
      </c>
      <c r="D84" s="757" t="s">
        <v>663</v>
      </c>
      <c r="E84" s="834">
        <v>0.2</v>
      </c>
      <c r="F84" s="821">
        <v>30</v>
      </c>
    </row>
    <row r="85" spans="1:6" s="817" customFormat="1" ht="36">
      <c r="A85" s="821">
        <v>25</v>
      </c>
      <c r="B85" s="3372"/>
      <c r="C85" s="757" t="s">
        <v>664</v>
      </c>
      <c r="D85" s="757" t="s">
        <v>665</v>
      </c>
      <c r="E85" s="834">
        <v>0.5</v>
      </c>
      <c r="F85" s="821">
        <v>80</v>
      </c>
    </row>
    <row r="86" spans="1:6" s="817" customFormat="1" ht="36">
      <c r="A86" s="821">
        <v>26</v>
      </c>
      <c r="B86" s="3372"/>
      <c r="C86" s="757" t="s">
        <v>666</v>
      </c>
      <c r="D86" s="757" t="s">
        <v>667</v>
      </c>
      <c r="E86" s="834">
        <v>0.2</v>
      </c>
      <c r="F86" s="821">
        <v>30</v>
      </c>
    </row>
    <row r="87" spans="1:6" s="817" customFormat="1" ht="36">
      <c r="A87" s="821">
        <v>27</v>
      </c>
      <c r="B87" s="3372"/>
      <c r="C87" s="757" t="s">
        <v>668</v>
      </c>
      <c r="D87" s="757" t="s">
        <v>669</v>
      </c>
      <c r="E87" s="834">
        <v>0.2</v>
      </c>
      <c r="F87" s="821">
        <v>30</v>
      </c>
    </row>
    <row r="88" spans="1:6" s="817" customFormat="1" ht="36">
      <c r="A88" s="821">
        <v>28</v>
      </c>
      <c r="B88" s="3372"/>
      <c r="C88" s="757" t="s">
        <v>670</v>
      </c>
      <c r="D88" s="757" t="s">
        <v>671</v>
      </c>
      <c r="E88" s="834">
        <v>0.2</v>
      </c>
      <c r="F88" s="821">
        <v>30</v>
      </c>
    </row>
    <row r="89" spans="1:6" s="817" customFormat="1" ht="24">
      <c r="A89" s="821">
        <v>29</v>
      </c>
      <c r="B89" s="3372"/>
      <c r="C89" s="757" t="s">
        <v>672</v>
      </c>
      <c r="D89" s="757" t="s">
        <v>673</v>
      </c>
      <c r="E89" s="834">
        <v>0.2</v>
      </c>
      <c r="F89" s="821">
        <v>30</v>
      </c>
    </row>
    <row r="90" spans="1:6" s="817" customFormat="1" ht="24">
      <c r="A90" s="821">
        <v>30</v>
      </c>
      <c r="B90" s="3372"/>
      <c r="C90" s="757" t="s">
        <v>674</v>
      </c>
      <c r="D90" s="757" t="s">
        <v>675</v>
      </c>
      <c r="E90" s="834">
        <v>0.2</v>
      </c>
      <c r="F90" s="821">
        <v>30</v>
      </c>
    </row>
    <row r="91" spans="1:6" s="817" customFormat="1" ht="36">
      <c r="A91" s="821">
        <v>31</v>
      </c>
      <c r="B91" s="3372"/>
      <c r="C91" s="757" t="s">
        <v>676</v>
      </c>
      <c r="D91" s="757" t="s">
        <v>677</v>
      </c>
      <c r="E91" s="834">
        <v>0.2</v>
      </c>
      <c r="F91" s="821">
        <v>30</v>
      </c>
    </row>
    <row r="92" spans="1:6" s="817" customFormat="1" ht="24">
      <c r="A92" s="821">
        <v>32</v>
      </c>
      <c r="B92" s="3372" t="s">
        <v>678</v>
      </c>
      <c r="C92" s="821" t="s">
        <v>679</v>
      </c>
      <c r="D92" s="757" t="s">
        <v>680</v>
      </c>
      <c r="E92" s="834">
        <v>0.2</v>
      </c>
      <c r="F92" s="821">
        <v>30</v>
      </c>
    </row>
    <row r="93" spans="1:6" s="817" customFormat="1" ht="36">
      <c r="A93" s="821">
        <v>33</v>
      </c>
      <c r="B93" s="3372"/>
      <c r="C93" s="821" t="s">
        <v>681</v>
      </c>
      <c r="D93" s="757" t="s">
        <v>682</v>
      </c>
      <c r="E93" s="834">
        <v>0.2</v>
      </c>
      <c r="F93" s="821">
        <v>30</v>
      </c>
    </row>
    <row r="94" spans="1:6" s="817" customFormat="1" ht="48">
      <c r="A94" s="821">
        <v>34</v>
      </c>
      <c r="B94" s="3372"/>
      <c r="C94" s="821" t="s">
        <v>683</v>
      </c>
      <c r="D94" s="757" t="s">
        <v>684</v>
      </c>
      <c r="E94" s="834">
        <v>0.2</v>
      </c>
      <c r="F94" s="821">
        <v>30</v>
      </c>
    </row>
    <row r="95" spans="1:6" s="817" customFormat="1" ht="36">
      <c r="A95" s="821">
        <v>35</v>
      </c>
      <c r="B95" s="3372"/>
      <c r="C95" s="821" t="s">
        <v>685</v>
      </c>
      <c r="D95" s="757" t="s">
        <v>686</v>
      </c>
      <c r="E95" s="834">
        <v>0.2</v>
      </c>
      <c r="F95" s="821">
        <v>30</v>
      </c>
    </row>
    <row r="96" spans="1:6" s="817" customFormat="1" ht="48">
      <c r="A96" s="821">
        <v>36</v>
      </c>
      <c r="B96" s="3372"/>
      <c r="C96" s="757" t="s">
        <v>687</v>
      </c>
      <c r="D96" s="757" t="s">
        <v>688</v>
      </c>
      <c r="E96" s="834">
        <v>0.2</v>
      </c>
      <c r="F96" s="821">
        <v>30</v>
      </c>
    </row>
    <row r="97" spans="1:6" s="817" customFormat="1" ht="36">
      <c r="A97" s="821">
        <v>37</v>
      </c>
      <c r="B97" s="3372"/>
      <c r="C97" s="821" t="s">
        <v>689</v>
      </c>
      <c r="D97" s="757" t="s">
        <v>690</v>
      </c>
      <c r="E97" s="834">
        <v>0.2</v>
      </c>
      <c r="F97" s="821">
        <v>30</v>
      </c>
    </row>
    <row r="98" spans="1:6" s="817" customFormat="1" ht="36">
      <c r="A98" s="821">
        <v>38</v>
      </c>
      <c r="B98" s="3372"/>
      <c r="C98" s="821" t="s">
        <v>691</v>
      </c>
      <c r="D98" s="757" t="s">
        <v>692</v>
      </c>
      <c r="E98" s="834">
        <v>0.2</v>
      </c>
      <c r="F98" s="821">
        <v>30</v>
      </c>
    </row>
    <row r="99" spans="1:6" s="817" customFormat="1" ht="36">
      <c r="A99" s="821">
        <v>39</v>
      </c>
      <c r="B99" s="3372" t="s">
        <v>693</v>
      </c>
      <c r="C99" s="821" t="s">
        <v>694</v>
      </c>
      <c r="D99" s="757" t="s">
        <v>695</v>
      </c>
      <c r="E99" s="834">
        <v>0.3</v>
      </c>
      <c r="F99" s="821">
        <v>50</v>
      </c>
    </row>
    <row r="100" spans="1:6" s="817" customFormat="1" ht="24">
      <c r="A100" s="821">
        <v>40</v>
      </c>
      <c r="B100" s="3372"/>
      <c r="C100" s="821" t="s">
        <v>696</v>
      </c>
      <c r="D100" s="757" t="s">
        <v>697</v>
      </c>
      <c r="E100" s="834">
        <v>0.2</v>
      </c>
      <c r="F100" s="821">
        <v>30</v>
      </c>
    </row>
    <row r="101" spans="1:6" s="817" customFormat="1" ht="36">
      <c r="A101" s="821">
        <v>41</v>
      </c>
      <c r="B101" s="33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2" t="s">
        <v>708</v>
      </c>
      <c r="C105" s="821" t="s">
        <v>709</v>
      </c>
      <c r="D105" s="757" t="s">
        <v>710</v>
      </c>
      <c r="E105" s="834">
        <v>0.2</v>
      </c>
      <c r="F105" s="821">
        <v>30</v>
      </c>
    </row>
    <row r="106" spans="1:6" s="817" customFormat="1" ht="36">
      <c r="A106" s="821">
        <v>46</v>
      </c>
      <c r="B106" s="3372"/>
      <c r="C106" s="821" t="s">
        <v>711</v>
      </c>
      <c r="D106" s="757" t="s">
        <v>712</v>
      </c>
      <c r="E106" s="834">
        <v>0.2</v>
      </c>
      <c r="F106" s="821">
        <v>30</v>
      </c>
    </row>
    <row r="107" spans="1:6" s="817" customFormat="1" ht="36">
      <c r="A107" s="821">
        <v>47</v>
      </c>
      <c r="B107" s="3372" t="s">
        <v>713</v>
      </c>
      <c r="C107" s="821" t="s">
        <v>714</v>
      </c>
      <c r="D107" s="757" t="s">
        <v>715</v>
      </c>
      <c r="E107" s="834">
        <v>0.3</v>
      </c>
      <c r="F107" s="821">
        <v>50</v>
      </c>
    </row>
    <row r="108" spans="1:6" s="817" customFormat="1" ht="36">
      <c r="A108" s="821">
        <v>48</v>
      </c>
      <c r="B108" s="33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2" t="s">
        <v>724</v>
      </c>
      <c r="C111" s="821" t="s">
        <v>725</v>
      </c>
      <c r="D111" s="757" t="s">
        <v>726</v>
      </c>
      <c r="E111" s="834">
        <v>0.2</v>
      </c>
      <c r="F111" s="821">
        <v>30</v>
      </c>
    </row>
    <row r="112" spans="1:6" s="817" customFormat="1" ht="24">
      <c r="A112" s="821">
        <v>52</v>
      </c>
      <c r="B112" s="3372"/>
      <c r="C112" s="821" t="s">
        <v>727</v>
      </c>
      <c r="D112" s="757" t="s">
        <v>728</v>
      </c>
      <c r="E112" s="834">
        <v>0.2</v>
      </c>
      <c r="F112" s="821">
        <v>30</v>
      </c>
    </row>
    <row r="113" spans="1:6" s="817" customFormat="1" ht="24">
      <c r="A113" s="821">
        <v>53</v>
      </c>
      <c r="B113" s="33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2" t="s">
        <v>737</v>
      </c>
      <c r="C116" s="821" t="s">
        <v>738</v>
      </c>
      <c r="D116" s="757" t="s">
        <v>739</v>
      </c>
      <c r="E116" s="834">
        <v>0.2</v>
      </c>
      <c r="F116" s="821">
        <v>30</v>
      </c>
    </row>
    <row r="117" spans="1:6" ht="36">
      <c r="A117" s="821">
        <v>57</v>
      </c>
      <c r="B117" s="33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0.78979999999999995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4"/>
      <c r="C1" s="2364"/>
      <c r="D1" s="2364"/>
      <c r="E1" s="2364"/>
      <c r="F1" s="3025"/>
      <c r="G1" s="3025"/>
      <c r="H1" s="3025"/>
      <c r="I1" s="3025"/>
      <c r="J1" s="3025"/>
      <c r="K1" s="3025"/>
      <c r="L1" s="3025"/>
      <c r="M1" s="3025"/>
      <c r="N1" s="3025"/>
      <c r="O1" s="3025"/>
      <c r="P1" s="3025"/>
    </row>
    <row r="2" spans="1:16" ht="15.75">
      <c r="A2" s="2362" t="s">
        <v>2812</v>
      </c>
      <c r="B2" s="2829">
        <f ca="1">SUMIF(B6:B13,"&lt;&gt;#ref!",B6:B13)</f>
        <v>11449</v>
      </c>
      <c r="C2" s="2362" t="s">
        <v>2813</v>
      </c>
      <c r="D2" s="2362" t="s">
        <v>2814</v>
      </c>
      <c r="E2" s="2839">
        <f ca="1">SUMIF(E6:E13,"&lt;&gt;#ref!",E6:E13)</f>
        <v>6787.95</v>
      </c>
      <c r="F2" s="3025"/>
      <c r="G2" s="3025"/>
      <c r="H2" s="3025"/>
      <c r="I2" s="3025"/>
      <c r="J2" s="3025"/>
      <c r="K2" s="3025"/>
      <c r="L2" s="3025"/>
      <c r="M2" s="3025"/>
      <c r="N2" s="3025"/>
      <c r="O2" s="3025"/>
      <c r="P2" s="3025"/>
    </row>
    <row r="3" spans="1:16" ht="15.75">
      <c r="A3" s="2362" t="s">
        <v>2815</v>
      </c>
      <c r="B3" s="2829">
        <f ca="1">ROUND(B2*10000/E2,0)</f>
        <v>16867</v>
      </c>
      <c r="C3" s="2362" t="s">
        <v>2821</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2816</v>
      </c>
      <c r="B5" s="2837" t="s">
        <v>2817</v>
      </c>
      <c r="C5" s="2363"/>
      <c r="D5" s="3025"/>
      <c r="E5" s="2838" t="s">
        <v>2818</v>
      </c>
      <c r="F5" s="3025"/>
      <c r="G5" s="3025"/>
      <c r="H5" s="3025"/>
      <c r="I5" s="3025"/>
      <c r="J5" s="3025"/>
      <c r="K5" s="3025"/>
      <c r="L5" s="3025"/>
      <c r="M5" s="3025"/>
      <c r="N5" s="3025"/>
      <c r="O5" s="3025"/>
      <c r="P5" s="3025"/>
    </row>
    <row r="6" spans="1:16" ht="15.75">
      <c r="A6" s="2836" t="s">
        <v>2819</v>
      </c>
      <c r="B6" s="2829">
        <f ca="1">SUMIF(INDIRECT("'"&amp;A6&amp;"'"&amp;"!A:A"),"总价",INDIRECT("'"&amp;A6&amp;"'"&amp;"!B:B"))</f>
        <v>11449</v>
      </c>
      <c r="C6" s="2362" t="s">
        <v>2813</v>
      </c>
      <c r="D6" s="3025"/>
      <c r="E6" s="2839">
        <f ca="1">SUMIF(INDIRECT("'"&amp;A6&amp;"'"&amp;"!C:C"),"建筑面积",INDIRECT("'"&amp;A6&amp;"'"&amp;"!D:D"))</f>
        <v>6787.95</v>
      </c>
      <c r="F6" s="3025"/>
      <c r="G6" s="3025"/>
      <c r="H6" s="3025"/>
      <c r="I6" s="3025"/>
      <c r="J6" s="3025"/>
      <c r="K6" s="3025"/>
      <c r="L6" s="3025"/>
      <c r="M6" s="3025"/>
      <c r="N6" s="3025"/>
      <c r="O6" s="3025"/>
      <c r="P6" s="3025"/>
    </row>
    <row r="7" spans="1:16" ht="15.75">
      <c r="A7" s="2836"/>
      <c r="B7" s="2829" t="e">
        <f ca="1">SUMIF(INDIRECT("'"&amp;A7&amp;"'"&amp;"!A:A"),"总价",INDIRECT("'"&amp;A7&amp;"'"&amp;"!B:B"))</f>
        <v>#REF!</v>
      </c>
      <c r="C7" s="2362" t="s">
        <v>2813</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2813</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2813</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2813</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2813</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2813</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2813</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6" sqref="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78" t="s">
        <v>1117</v>
      </c>
      <c r="C1" s="3378"/>
      <c r="D1" s="3378"/>
      <c r="E1" s="3378"/>
      <c r="F1" s="3378"/>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3057</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3058</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3056</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2870</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2868</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2867</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2866</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2864</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2862</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2865</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2860</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2859</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2852</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2850</v>
      </c>
      <c r="B18" s="2439">
        <v>439</v>
      </c>
      <c r="C18" s="2439">
        <v>327</v>
      </c>
      <c r="D18" s="2439">
        <f>C18</f>
        <v>327</v>
      </c>
      <c r="E18" s="2439">
        <v>627</v>
      </c>
      <c r="F18" s="2440">
        <v>283</v>
      </c>
      <c r="G18" s="337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2851</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7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7" t="s">
        <v>2823</v>
      </c>
      <c r="D1" s="3388"/>
      <c r="E1" s="3388"/>
      <c r="F1" s="3388"/>
      <c r="G1" s="3388"/>
      <c r="H1" s="3388"/>
      <c r="I1" s="3388"/>
      <c r="J1" s="3388"/>
      <c r="K1" s="3388"/>
      <c r="L1" s="3388"/>
      <c r="M1" s="3388"/>
      <c r="N1" s="3388"/>
      <c r="O1" s="3388"/>
      <c r="P1" s="3388"/>
      <c r="Q1" s="3388"/>
      <c r="R1" s="3388"/>
      <c r="S1" s="338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2832</v>
      </c>
      <c r="B17" s="2366"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8"/>
      <c r="E20" s="1526"/>
      <c r="F20" s="1114" t="e">
        <f ca="1">SUMIF(INDIRECT("'"&amp;H20&amp;"'"&amp;"!A:A"),"承租人权益价值",INDIRECT("'"&amp;H20&amp;"'"&amp;"!c:c"))</f>
        <v>#REF!</v>
      </c>
      <c r="G20" s="1114" t="s">
        <v>2836</v>
      </c>
      <c r="H20" s="2369"/>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4" t="s">
        <v>33</v>
      </c>
      <c r="D22" s="3385"/>
      <c r="E22" s="3385"/>
      <c r="F22" s="3385"/>
      <c r="G22" s="3385"/>
      <c r="H22" s="3385"/>
      <c r="I22" s="3385"/>
      <c r="J22" s="3385"/>
      <c r="K22" s="3385"/>
      <c r="L22" s="3385"/>
      <c r="M22" s="3385"/>
      <c r="N22" s="3385"/>
      <c r="O22" s="3385"/>
      <c r="P22" s="3385"/>
      <c r="Q22" s="338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679"/>
      <c r="B4" s="3059" t="s">
        <v>1595</v>
      </c>
      <c r="C4" s="3059"/>
      <c r="D4" s="3059"/>
      <c r="E4" s="1679"/>
    </row>
    <row r="5" spans="1:5" ht="16.5" thickTop="1">
      <c r="A5" s="1677"/>
      <c r="B5" s="3057" t="s">
        <v>1587</v>
      </c>
      <c r="C5" s="1680" t="s">
        <v>1588</v>
      </c>
      <c r="D5" s="959" t="e">
        <f ca="1">结果表!H101</f>
        <v>#REF!</v>
      </c>
      <c r="E5" s="1677"/>
    </row>
    <row r="6" spans="1:5" ht="15.75">
      <c r="A6" s="1677"/>
      <c r="B6" s="3057"/>
      <c r="C6" s="1680" t="s">
        <v>1589</v>
      </c>
      <c r="D6" s="959" t="e">
        <f ca="1">NUMBERSTRING(INT(D5*10000),2)&amp;"元整"</f>
        <v>#REF!</v>
      </c>
      <c r="E6" s="1677"/>
    </row>
    <row r="7" spans="1:5" ht="15.75">
      <c r="A7" s="1677"/>
      <c r="B7" s="3062"/>
      <c r="C7" s="1681" t="s">
        <v>1590</v>
      </c>
      <c r="D7" s="960" t="e">
        <f ca="1">结果表!H102</f>
        <v>#REF!</v>
      </c>
      <c r="E7" s="1677"/>
    </row>
    <row r="8" spans="1:5" ht="15.75">
      <c r="A8" s="1677"/>
      <c r="B8" s="3063" t="str">
        <f>结果表!E103</f>
        <v>2.估价师知悉的法定优先受偿款</v>
      </c>
      <c r="C8" s="1682" t="s">
        <v>1591</v>
      </c>
      <c r="D8" s="960">
        <f>结果表!H103</f>
        <v>0</v>
      </c>
      <c r="E8" s="1677"/>
    </row>
    <row r="9" spans="1:5" ht="15.75">
      <c r="A9" s="1677"/>
      <c r="B9" s="306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56" t="str">
        <f>结果表!E107</f>
        <v>3.房地产抵押价值</v>
      </c>
      <c r="C13" s="1685" t="s">
        <v>1588</v>
      </c>
      <c r="D13" s="962" t="e">
        <f ca="1">结果表!H107</f>
        <v>#REF!</v>
      </c>
      <c r="E13" s="1677"/>
    </row>
    <row r="14" spans="1:5" ht="15.75">
      <c r="A14" s="1677"/>
      <c r="B14" s="3057"/>
      <c r="C14" s="1680" t="s">
        <v>1589</v>
      </c>
      <c r="D14" s="959" t="e">
        <f ca="1">NUMBERSTRING(INT(D13*10000),2)&amp;"元整"</f>
        <v>#REF!</v>
      </c>
      <c r="E14" s="1677"/>
    </row>
    <row r="15" spans="1:5" ht="15">
      <c r="A15" s="1677"/>
      <c r="B15" s="3062"/>
      <c r="C15" s="1681" t="s">
        <v>1599</v>
      </c>
      <c r="D15" s="968" t="e">
        <f ca="1">结果表!H108</f>
        <v>#REF!</v>
      </c>
      <c r="E15" s="1677"/>
    </row>
    <row r="16" spans="1:5" ht="15">
      <c r="A16" s="1677"/>
      <c r="B16" s="3063" t="str">
        <f>结果表!E109</f>
        <v>——</v>
      </c>
      <c r="C16" s="1685" t="s">
        <v>1600</v>
      </c>
      <c r="D16" s="1686" t="str">
        <f>结果表!H109</f>
        <v>——</v>
      </c>
      <c r="E16" s="1677"/>
    </row>
    <row r="17" spans="1:5" ht="15.75">
      <c r="A17" s="1677"/>
      <c r="B17" s="3064"/>
      <c r="C17" s="1680" t="s">
        <v>1601</v>
      </c>
      <c r="D17" s="959" t="e">
        <f>NUMBERSTRING(INT(D16*10000),2)&amp;"元整"</f>
        <v>#VALUE!</v>
      </c>
      <c r="E17" s="1677"/>
    </row>
    <row r="18" spans="1:5" ht="15">
      <c r="A18" s="1677"/>
      <c r="B18" s="3065"/>
      <c r="C18" s="1681" t="s">
        <v>1590</v>
      </c>
      <c r="D18" s="968" t="str">
        <f>结果表!H110</f>
        <v>——</v>
      </c>
      <c r="E18" s="1677"/>
    </row>
    <row r="19" spans="1:5" ht="15.75">
      <c r="A19" s="1677"/>
      <c r="B19" s="3056" t="str">
        <f>结果表!E111</f>
        <v>——</v>
      </c>
      <c r="C19" s="1685" t="s">
        <v>1588</v>
      </c>
      <c r="D19" s="960" t="str">
        <f>结果表!H111</f>
        <v>——</v>
      </c>
      <c r="E19" s="1677"/>
    </row>
    <row r="20" spans="1:5" ht="15.75">
      <c r="A20" s="1677"/>
      <c r="B20" s="3057"/>
      <c r="C20" s="1680" t="s">
        <v>1601</v>
      </c>
      <c r="D20" s="959" t="e">
        <f>NUMBERSTRING(INT(D19*10000),2)&amp;"元整"</f>
        <v>#VALUE!</v>
      </c>
      <c r="E20" s="1677"/>
    </row>
    <row r="21" spans="1:5" ht="15.75" thickBot="1">
      <c r="A21" s="1677"/>
      <c r="B21" s="305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30302</v>
      </c>
      <c r="C2" s="2" t="s">
        <v>133</v>
      </c>
      <c r="D2" s="205"/>
      <c r="E2" s="205"/>
      <c r="F2" s="205"/>
      <c r="G2" s="205"/>
    </row>
    <row r="3" spans="1:7" s="206" customFormat="1" ht="18" customHeight="1" thickBot="1">
      <c r="A3" s="209" t="s">
        <v>85</v>
      </c>
      <c r="B3" s="210">
        <f ca="1">ROUND(B2*10000/'数据-汇总表'!E3,0)</f>
        <v>44641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136</v>
      </c>
      <c r="D10" s="954">
        <f>'数据-汇总表'!E6</f>
        <v>6787.95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136</v>
      </c>
      <c r="D19" s="958">
        <f>'数据-汇总表'!E3</f>
        <v>6787.95</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806</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3174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27230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2973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2715</v>
      </c>
      <c r="D34" s="223"/>
      <c r="E34" s="226"/>
      <c r="F34" s="263">
        <f>IF('数据-取费表'!B24=0,1,'数据-取费表'!N16)</f>
        <v>1</v>
      </c>
      <c r="G34" s="225" t="s">
        <v>116</v>
      </c>
    </row>
    <row r="35" spans="1:7" ht="13.5" customHeight="1">
      <c r="A35" s="888" t="s">
        <v>796</v>
      </c>
      <c r="B35" s="221" t="s">
        <v>60</v>
      </c>
      <c r="C35" s="226">
        <f>ROUND(C34*F35,0)</f>
        <v>81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136</v>
      </c>
      <c r="D37" s="223">
        <f>'数据-汇总表'!E3</f>
        <v>6787.95</v>
      </c>
      <c r="E37" s="255">
        <f>'数据-取费表'!B35</f>
        <v>200</v>
      </c>
      <c r="F37" s="265"/>
      <c r="G37" s="267" t="s">
        <v>119</v>
      </c>
    </row>
    <row r="38" spans="1:7" ht="13.5" customHeight="1">
      <c r="A38" s="888" t="s">
        <v>799</v>
      </c>
      <c r="B38" s="221" t="s">
        <v>63</v>
      </c>
      <c r="C38" s="226">
        <f>ROUND(C34*F38,0)</f>
        <v>41</v>
      </c>
      <c r="D38" s="226"/>
      <c r="E38" s="226"/>
      <c r="F38" s="265">
        <f>'数据-取费表'!B36</f>
        <v>1.4999999999999999E-2</v>
      </c>
      <c r="G38" s="225" t="s">
        <v>117</v>
      </c>
    </row>
    <row r="39" spans="1:7" s="220" customFormat="1" ht="13.5" customHeight="1">
      <c r="A39" s="885" t="s">
        <v>783</v>
      </c>
      <c r="B39" s="216" t="s">
        <v>104</v>
      </c>
      <c r="C39" s="238">
        <f>ROUND(C33*F20,0)</f>
        <v>59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57</v>
      </c>
      <c r="D42" s="244"/>
      <c r="E42" s="244"/>
      <c r="F42" s="245"/>
      <c r="G42" s="3244" t="s">
        <v>121</v>
      </c>
    </row>
    <row r="43" spans="1:7" ht="13.5" customHeight="1">
      <c r="A43" s="888" t="s">
        <v>792</v>
      </c>
      <c r="B43" s="221" t="s">
        <v>1032</v>
      </c>
      <c r="C43" s="244">
        <f ca="1">ROUND(IF('数据-取费表'!B22&lt;=1,C39*F22*'数据-取费表'!B21/2,C39*(POWER((1+F22),'数据-取费表'!B21/2)-1)),0)</f>
        <v>1</v>
      </c>
      <c r="D43" s="244"/>
      <c r="E43" s="244"/>
      <c r="F43" s="245"/>
      <c r="G43" s="3245"/>
    </row>
    <row r="44" spans="1:7" ht="13.5" customHeight="1">
      <c r="A44" s="888" t="s">
        <v>793</v>
      </c>
      <c r="B44" s="221" t="s">
        <v>1034</v>
      </c>
      <c r="C44" s="244">
        <f ca="1">ROUND(IF('数据-取费表'!B22&lt;=1,C40*F22*'数据-取费表'!B21/2,C40*(POWER((1+F22),'数据-取费表'!B21/2)-1)),4)</f>
        <v>4.0000000000000002E-4</v>
      </c>
      <c r="D44" s="244"/>
      <c r="E44" s="244"/>
      <c r="F44" s="245"/>
      <c r="G44" s="3246"/>
    </row>
    <row r="45" spans="1:7" s="220" customFormat="1" ht="13.5" customHeight="1">
      <c r="A45" s="885" t="s">
        <v>786</v>
      </c>
      <c r="B45" s="250" t="s">
        <v>112</v>
      </c>
      <c r="C45" s="251">
        <f>C46</f>
        <v>455</v>
      </c>
      <c r="D45" s="241">
        <f>C47</f>
        <v>3.0000000000000001E-3</v>
      </c>
      <c r="E45" s="242" t="s">
        <v>129</v>
      </c>
      <c r="F45" s="252"/>
      <c r="G45" s="253" t="s">
        <v>1040</v>
      </c>
    </row>
    <row r="46" spans="1:7" s="220" customFormat="1" ht="13.5" customHeight="1">
      <c r="A46" s="888" t="s">
        <v>794</v>
      </c>
      <c r="B46" s="254" t="s">
        <v>1033</v>
      </c>
      <c r="C46" s="255">
        <f>ROUND((C33+C39)*F27,0)</f>
        <v>455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3840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3072</v>
      </c>
      <c r="D51" s="238"/>
      <c r="E51" s="238"/>
      <c r="F51" s="270"/>
      <c r="G51" s="240" t="s">
        <v>64</v>
      </c>
    </row>
    <row r="52" spans="1:7" s="214" customFormat="1" ht="16.5" thickBot="1">
      <c r="A52" s="271" t="s">
        <v>65</v>
      </c>
      <c r="B52" s="272"/>
      <c r="C52" s="273">
        <f ca="1">C31+C51</f>
        <v>30302</v>
      </c>
      <c r="D52" s="272"/>
      <c r="E52" s="272"/>
      <c r="F52" s="272"/>
      <c r="G52" s="274"/>
    </row>
    <row r="55" spans="1:7" ht="15">
      <c r="B55" s="276" t="s">
        <v>66</v>
      </c>
      <c r="C55" s="277"/>
    </row>
    <row r="56" spans="1:7">
      <c r="B56" s="279" t="s">
        <v>67</v>
      </c>
      <c r="C56" s="280">
        <f ca="1">ROUND(C51/C52,3)</f>
        <v>0.10100000000000001</v>
      </c>
    </row>
    <row r="57" spans="1:7">
      <c r="B57" s="279" t="s">
        <v>68</v>
      </c>
      <c r="C57" s="281">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0" t="s">
        <v>156</v>
      </c>
      <c r="B1" s="3390"/>
      <c r="C1" s="3390"/>
      <c r="D1" s="3390"/>
      <c r="E1" s="3390"/>
      <c r="F1" s="33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1" t="s">
        <v>169</v>
      </c>
      <c r="B2" s="3391"/>
      <c r="C2" s="3391"/>
      <c r="D2" s="3391"/>
      <c r="E2" s="3391"/>
      <c r="F2" s="33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0" t="s">
        <v>839</v>
      </c>
      <c r="B1" s="33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44267</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1606</v>
      </c>
      <c r="B2" s="3067" t="s">
        <v>1607</v>
      </c>
      <c r="C2" s="3067" t="s">
        <v>1608</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8"/>
      <c r="B3" s="3068"/>
      <c r="C3" s="3068"/>
      <c r="D3" s="963" t="s">
        <v>1603</v>
      </c>
      <c r="E3" s="963" t="s">
        <v>1609</v>
      </c>
      <c r="F3" s="963" t="s">
        <v>1603</v>
      </c>
      <c r="G3" s="963" t="s">
        <v>1604</v>
      </c>
      <c r="H3" s="963" t="s">
        <v>1603</v>
      </c>
      <c r="I3" s="963" t="s">
        <v>1604</v>
      </c>
    </row>
    <row r="4" spans="1:9" ht="30">
      <c r="A4" s="1691" t="str">
        <f>项目基本情况!S2</f>
        <v>北京市海淀区四道口11号房地产</v>
      </c>
      <c r="B4" s="963">
        <f>项目基本情况!C17</f>
        <v>6787.95</v>
      </c>
      <c r="C4" s="963">
        <f>项目基本情况!C18</f>
        <v>1000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68" t="s">
        <v>1605</v>
      </c>
      <c r="B5" s="3068"/>
      <c r="C5" s="3068"/>
      <c r="D5" s="3069" t="e">
        <f ca="1">结果表!D119</f>
        <v>#REF!</v>
      </c>
      <c r="E5" s="3069"/>
      <c r="F5" s="3069" t="e">
        <f ca="1">结果表!F119</f>
        <v>#REF!</v>
      </c>
      <c r="G5" s="3069"/>
      <c r="H5" s="3069" t="e">
        <f ca="1">结果表!H119</f>
        <v>#REF!</v>
      </c>
      <c r="I5" s="3069"/>
    </row>
    <row r="6" spans="1:9" ht="15.75">
      <c r="A6" s="3070" t="str">
        <f>结果表!A120</f>
        <v>估价师知悉的法定优先受偿款</v>
      </c>
      <c r="B6" s="3070"/>
      <c r="C6" s="3070"/>
      <c r="D6" s="3070">
        <f>结果表!D120</f>
        <v>0</v>
      </c>
      <c r="E6" s="3070"/>
      <c r="F6" s="3070"/>
      <c r="G6" s="3070"/>
      <c r="H6" s="3070"/>
      <c r="I6" s="3070"/>
    </row>
    <row r="7" spans="1:9" ht="15">
      <c r="A7" s="3068" t="s">
        <v>1605</v>
      </c>
      <c r="B7" s="3068"/>
      <c r="C7" s="3068"/>
      <c r="D7" s="3071" t="str">
        <f>结果表!D121</f>
        <v>零元整</v>
      </c>
      <c r="E7" s="3072"/>
      <c r="F7" s="3072"/>
      <c r="G7" s="3072"/>
      <c r="H7" s="3072"/>
      <c r="I7" s="3073"/>
    </row>
    <row r="8" spans="1:9" ht="15.75">
      <c r="A8" s="3070" t="str">
        <f>结果表!A122</f>
        <v>房地产抵押价值</v>
      </c>
      <c r="B8" s="3070"/>
      <c r="C8" s="3070"/>
      <c r="D8" s="3070" t="e">
        <f ca="1">结果表!D122</f>
        <v>#REF!</v>
      </c>
      <c r="E8" s="3070"/>
      <c r="F8" s="3070"/>
      <c r="G8" s="3070"/>
      <c r="H8" s="3070"/>
      <c r="I8" s="3070"/>
    </row>
    <row r="9" spans="1:9" ht="15">
      <c r="A9" s="3068" t="s">
        <v>1605</v>
      </c>
      <c r="B9" s="3068"/>
      <c r="C9" s="3068"/>
      <c r="D9" s="3069" t="e">
        <f ca="1">结果表!D123</f>
        <v>#REF!</v>
      </c>
      <c r="E9" s="3069"/>
      <c r="F9" s="3069"/>
      <c r="G9" s="3069"/>
      <c r="H9" s="3069"/>
      <c r="I9" s="3069"/>
    </row>
    <row r="10" spans="1:9" ht="15.75">
      <c r="A10" s="3070" t="str">
        <f>结果表!A124</f>
        <v/>
      </c>
      <c r="B10" s="3070"/>
      <c r="C10" s="3070"/>
      <c r="D10" s="3070" t="str">
        <f>结果表!D124</f>
        <v>——</v>
      </c>
      <c r="E10" s="3070"/>
      <c r="F10" s="3070"/>
      <c r="G10" s="3070"/>
      <c r="H10" s="3070"/>
      <c r="I10" s="3070"/>
    </row>
    <row r="11" spans="1:9" ht="15">
      <c r="A11" s="3068" t="s">
        <v>1605</v>
      </c>
      <c r="B11" s="3068"/>
      <c r="C11" s="3068"/>
      <c r="D11" s="3069" t="e">
        <f>结果表!D125</f>
        <v>#VALUE!</v>
      </c>
      <c r="E11" s="3069"/>
      <c r="F11" s="3069"/>
      <c r="G11" s="3069"/>
      <c r="H11" s="3069"/>
      <c r="I11" s="3069"/>
    </row>
    <row r="12" spans="1:9" ht="15.75">
      <c r="A12" s="3070" t="str">
        <f>结果表!A126</f>
        <v/>
      </c>
      <c r="B12" s="3070"/>
      <c r="C12" s="3070"/>
      <c r="D12" s="3070" t="str">
        <f>结果表!D126</f>
        <v>——</v>
      </c>
      <c r="E12" s="3070"/>
      <c r="F12" s="3070"/>
      <c r="G12" s="3070"/>
      <c r="H12" s="3070"/>
      <c r="I12" s="3070"/>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7" t="s">
        <v>1627</v>
      </c>
      <c r="B1" s="3077"/>
      <c r="C1" s="3077"/>
      <c r="D1" s="3077"/>
    </row>
    <row r="2" spans="1:4" ht="18">
      <c r="A2" s="3078" t="s">
        <v>1611</v>
      </c>
      <c r="B2" s="3078"/>
      <c r="C2" s="3078"/>
      <c r="D2" s="307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78" t="s">
        <v>1617</v>
      </c>
      <c r="B6" s="3078"/>
      <c r="C6" s="3078"/>
      <c r="D6" s="307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79" t="s">
        <v>1620</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3" t="s">
        <v>1621</v>
      </c>
      <c r="B16" s="3083"/>
      <c r="C16" s="3083"/>
      <c r="D16" s="3083"/>
    </row>
    <row r="17" spans="1:4" ht="144" customHeight="1">
      <c r="A17" s="3083" t="s">
        <v>1622</v>
      </c>
      <c r="B17" s="3083"/>
      <c r="C17" s="3083"/>
      <c r="D17" s="3083"/>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1623</v>
      </c>
      <c r="B22" s="3085"/>
      <c r="C22" s="3085"/>
      <c r="D22" s="308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1" t="s">
        <v>1634</v>
      </c>
      <c r="B15" s="3086" t="s">
        <v>136</v>
      </c>
      <c r="C15" s="3087"/>
    </row>
    <row r="16" spans="1:7" ht="13.5">
      <c r="A16" s="3092"/>
      <c r="B16" s="3086" t="s">
        <v>69</v>
      </c>
      <c r="C16" s="3087"/>
    </row>
    <row r="17" spans="1:3" ht="13.5">
      <c r="A17" s="3092"/>
      <c r="B17" s="3089" t="s">
        <v>1635</v>
      </c>
      <c r="C17" s="1718" t="s">
        <v>1634</v>
      </c>
    </row>
    <row r="18" spans="1:3" ht="13.5">
      <c r="A18" s="3092"/>
      <c r="B18" s="3089"/>
      <c r="C18" s="1718" t="s">
        <v>1636</v>
      </c>
    </row>
    <row r="19" spans="1:3" ht="13.5">
      <c r="A19" s="3092"/>
      <c r="B19" s="3089"/>
      <c r="C19" s="1718" t="s">
        <v>1637</v>
      </c>
    </row>
    <row r="20" spans="1:3" ht="13.5">
      <c r="A20" s="3093"/>
      <c r="B20" s="3088" t="s">
        <v>1638</v>
      </c>
      <c r="C20" s="3087"/>
    </row>
    <row r="21" spans="1:3" ht="13.5">
      <c r="A21" s="1719" t="s">
        <v>1639</v>
      </c>
      <c r="B21" s="1720"/>
      <c r="C21" s="1721"/>
    </row>
    <row r="22" spans="1:3" ht="13.5">
      <c r="A22" s="3090" t="s">
        <v>1640</v>
      </c>
      <c r="B22" s="3088" t="s">
        <v>1641</v>
      </c>
      <c r="C22" s="3087"/>
    </row>
    <row r="23" spans="1:3" ht="13.5">
      <c r="A23" s="3090"/>
      <c r="B23" s="3088" t="s">
        <v>1642</v>
      </c>
      <c r="C23" s="3087"/>
    </row>
    <row r="24" spans="1:3" ht="13.5">
      <c r="A24" s="3090"/>
      <c r="B24" s="3088" t="s">
        <v>1643</v>
      </c>
      <c r="C24" s="3087"/>
    </row>
    <row r="25" spans="1:3" ht="13.5">
      <c r="A25" s="3090"/>
      <c r="B25" s="3089" t="s">
        <v>1644</v>
      </c>
      <c r="C25" s="1718" t="s">
        <v>1645</v>
      </c>
    </row>
    <row r="26" spans="1:3" ht="13.5">
      <c r="A26" s="3090"/>
      <c r="B26" s="3089"/>
      <c r="C26" s="1718" t="s">
        <v>1646</v>
      </c>
    </row>
    <row r="27" spans="1:3" ht="13.5">
      <c r="A27" s="3090"/>
      <c r="B27" s="3089"/>
      <c r="C27" s="1718" t="s">
        <v>1647</v>
      </c>
    </row>
    <row r="28" spans="1:3" ht="13.5">
      <c r="A28" s="3090"/>
      <c r="B28" s="3089"/>
      <c r="C28" s="1718" t="s">
        <v>1648</v>
      </c>
    </row>
    <row r="29" spans="1:3" ht="13.5">
      <c r="A29" s="3090"/>
      <c r="B29" s="3089"/>
      <c r="C29" s="1718" t="s">
        <v>1649</v>
      </c>
    </row>
    <row r="30" spans="1:3" ht="13.5">
      <c r="A30" s="3090"/>
      <c r="B30" s="3089"/>
      <c r="C30" s="1718" t="s">
        <v>1650</v>
      </c>
    </row>
    <row r="31" spans="1:3" ht="13.5">
      <c r="A31" s="3090"/>
      <c r="B31" s="3089"/>
      <c r="C31" s="1718" t="s">
        <v>1651</v>
      </c>
    </row>
    <row r="32" spans="1:3" ht="13.5">
      <c r="A32" s="3090"/>
      <c r="B32" s="3089"/>
      <c r="C32" s="1718" t="s">
        <v>1652</v>
      </c>
    </row>
    <row r="33" spans="1:3" ht="13.5">
      <c r="A33" s="3090"/>
      <c r="B33" s="308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44302</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4" t="s">
        <v>2900</v>
      </c>
      <c r="B17" s="3094"/>
      <c r="C17" s="3094"/>
      <c r="D17" s="3094"/>
      <c r="E17" s="3094"/>
      <c r="F17" s="3094"/>
      <c r="G17" s="3094"/>
      <c r="H17" s="3094"/>
    </row>
    <row r="18" spans="1:8" ht="24" customHeight="1">
      <c r="A18" s="3095" t="s">
        <v>2901</v>
      </c>
      <c r="B18" s="3095"/>
      <c r="C18" s="3095"/>
      <c r="D18" s="2567"/>
      <c r="E18" s="3096" t="s">
        <v>2902</v>
      </c>
      <c r="F18" s="3095"/>
      <c r="G18" s="3095"/>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2021-04-16T06:53:35Z</dcterms:modified>
</cp:coreProperties>
</file>