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汇总表" sheetId="81" r:id="rId20"/>
    <sheet name="成本法 (元)" sheetId="69" r:id="rId21"/>
    <sheet name="假设开发法" sheetId="12" state="hidden" r:id="rId22"/>
    <sheet name="收益法" sheetId="15" state="hidden" r:id="rId23"/>
    <sheet name="基准地价修正" sheetId="4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repairLoad="1"/>
</workbook>
</file>

<file path=xl/calcChain.xml><?xml version="1.0" encoding="utf-8"?>
<calcChain xmlns="http://schemas.openxmlformats.org/spreadsheetml/2006/main">
  <c r="I16" i="3" l="1"/>
  <c r="I15" i="3"/>
  <c r="I14" i="3"/>
  <c r="I13" i="3"/>
  <c r="U5" i="43"/>
  <c r="U4" i="43"/>
  <c r="U3" i="43"/>
  <c r="U2" i="43"/>
  <c r="B29" i="81" l="1"/>
  <c r="F27" i="81"/>
  <c r="L11" i="81"/>
  <c r="I22" i="81"/>
  <c r="C14" i="81"/>
  <c r="C34" i="34" l="1"/>
  <c r="I37" i="34"/>
  <c r="G37" i="34"/>
  <c r="E37" i="34"/>
  <c r="N21" i="1"/>
  <c r="N23" i="1" s="1"/>
  <c r="N6" i="1" s="1"/>
  <c r="Y6" i="1" s="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41" i="34"/>
  <c r="AA4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AB36"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40" i="15"/>
  <c r="F36" i="67"/>
  <c r="F37" i="15"/>
  <c r="B8" i="76"/>
  <c r="D35" i="9"/>
  <c r="M29" i="15"/>
  <c r="F26" i="67"/>
  <c r="M26" i="15"/>
  <c r="L47" i="15"/>
  <c r="B11" i="76"/>
  <c r="F42" i="67"/>
  <c r="F36" i="15"/>
  <c r="D7" i="73"/>
  <c r="M6" i="67"/>
  <c r="D5" i="73"/>
  <c r="D4" i="73"/>
  <c r="F6" i="73"/>
  <c r="F40" i="67"/>
  <c r="F7" i="15"/>
  <c r="F6" i="67"/>
  <c r="M23" i="15"/>
  <c r="C76" i="67"/>
  <c r="M24" i="67"/>
  <c r="M23" i="67"/>
  <c r="M6" i="15"/>
  <c r="F6" i="15"/>
  <c r="M8" i="67"/>
  <c r="E12" i="76"/>
  <c r="C76" i="15"/>
  <c r="E10" i="76"/>
  <c r="AO13" i="1"/>
  <c r="L47" i="67"/>
  <c r="L48" i="67"/>
  <c r="F20" i="31"/>
  <c r="B10" i="76"/>
  <c r="M24" i="15"/>
  <c r="F16" i="15"/>
  <c r="F4" i="73"/>
  <c r="B13" i="76"/>
  <c r="E8" i="76"/>
  <c r="M28" i="15"/>
  <c r="F16" i="67"/>
  <c r="M8" i="15"/>
  <c r="F13" i="67"/>
  <c r="E2" i="69"/>
  <c r="F8" i="15"/>
  <c r="F38" i="15"/>
  <c r="J15" i="67"/>
  <c r="F38" i="67"/>
  <c r="B7" i="76"/>
  <c r="M9" i="67"/>
  <c r="E2" i="68"/>
  <c r="E11" i="76"/>
  <c r="F3" i="73"/>
  <c r="D34" i="9"/>
  <c r="F5" i="73"/>
  <c r="J15" i="15"/>
  <c r="D3" i="73"/>
  <c r="M28" i="67"/>
  <c r="E9" i="76"/>
  <c r="M9" i="15"/>
  <c r="F13" i="15"/>
  <c r="F43" i="15"/>
  <c r="F7" i="73"/>
  <c r="E7" i="76"/>
  <c r="F26" i="15"/>
  <c r="M26" i="67"/>
  <c r="B12" i="76"/>
  <c r="F8" i="67"/>
  <c r="F9" i="67"/>
  <c r="E13" i="76"/>
  <c r="M22" i="15"/>
  <c r="F42" i="15"/>
  <c r="M22" i="67"/>
  <c r="F37" i="67"/>
  <c r="L48" i="15"/>
  <c r="D6" i="73"/>
  <c r="F9" i="15"/>
  <c r="AZ14" i="3" l="1"/>
  <c r="BB5" i="3"/>
  <c r="H5" i="3"/>
  <c r="G5" i="3"/>
  <c r="B3" i="3" s="1"/>
  <c r="E118" i="3" s="1"/>
  <c r="BA5" i="3"/>
  <c r="E513" i="3"/>
  <c r="E144" i="3"/>
  <c r="E23" i="3"/>
  <c r="E300" i="3"/>
  <c r="E142" i="3"/>
  <c r="E64" i="3"/>
  <c r="L6" i="3"/>
  <c r="E119" i="3"/>
  <c r="E419" i="3"/>
  <c r="E507" i="3"/>
  <c r="E116" i="3"/>
  <c r="G6" i="1"/>
  <c r="I24" i="4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G29" i="6"/>
  <c r="F29" i="6"/>
  <c r="BL15" i="3"/>
  <c r="AZ15" i="3" s="1"/>
  <c r="D50" i="43"/>
  <c r="H69" i="43"/>
  <c r="H67" i="43"/>
  <c r="W9" i="34"/>
  <c r="S21" i="34"/>
  <c r="S43" i="34"/>
  <c r="U39" i="34"/>
  <c r="AA39" i="34"/>
  <c r="AC36" i="34"/>
  <c r="AB35" i="34"/>
  <c r="W33" i="34"/>
  <c r="AC27" i="34"/>
  <c r="U27" i="34"/>
  <c r="S27" i="34"/>
  <c r="U25" i="34"/>
  <c r="AA25" i="34"/>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E28" i="6" s="1"/>
  <c r="K14" i="1" s="1"/>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C16" i="15"/>
  <c r="G1" i="73"/>
  <c r="E381" i="3" l="1"/>
  <c r="E16" i="3"/>
  <c r="E564" i="3"/>
  <c r="E40" i="3"/>
  <c r="E473" i="3"/>
  <c r="E267" i="3"/>
  <c r="E67" i="3"/>
  <c r="E63" i="3"/>
  <c r="E329" i="3"/>
  <c r="E376" i="3"/>
  <c r="E276" i="3"/>
  <c r="E103" i="3"/>
  <c r="E310" i="3"/>
  <c r="E233" i="3"/>
  <c r="E283" i="3"/>
  <c r="BL5"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AY6" i="3"/>
  <c r="E3" i="6"/>
  <c r="F19" i="6" s="1"/>
  <c r="E19" i="6" s="1"/>
  <c r="K6" i="1" s="1"/>
  <c r="K16" i="1" s="1"/>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7" i="67"/>
  <c r="F43" i="67"/>
  <c r="M29" i="67"/>
  <c r="AE6" i="1"/>
  <c r="E27" i="6" l="1"/>
  <c r="K26" i="6" s="1"/>
  <c r="M26" i="6" s="1"/>
  <c r="I26" i="6" s="1"/>
  <c r="S26" i="6" s="1"/>
  <c r="F27" i="6"/>
  <c r="F31" i="6" s="1"/>
  <c r="F71" i="67"/>
  <c r="C6" i="67"/>
  <c r="C32" i="67" s="1"/>
  <c r="M7" i="67"/>
  <c r="J6" i="67" s="1"/>
  <c r="J18" i="67" s="1"/>
  <c r="F50" i="67"/>
  <c r="C49" i="67" s="1"/>
  <c r="J5" i="67"/>
  <c r="J24" i="67" s="1"/>
  <c r="AP6" i="1"/>
  <c r="C36" i="69" s="1"/>
  <c r="Q16" i="1"/>
  <c r="H16" i="1"/>
  <c r="G16" i="1"/>
  <c r="M6" i="1"/>
  <c r="O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0" i="6"/>
  <c r="K22" i="6"/>
  <c r="K24"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C16" i="67"/>
  <c r="F69" i="67" l="1"/>
  <c r="V2" i="43"/>
  <c r="C6" i="69"/>
  <c r="C7" i="69" s="1"/>
  <c r="K19" i="6"/>
  <c r="S6" i="1" s="1"/>
  <c r="E31" i="6"/>
  <c r="K23" i="6"/>
  <c r="K25" i="6"/>
  <c r="F10" i="39"/>
  <c r="H10" i="39"/>
  <c r="J10" i="39"/>
  <c r="J10" i="40"/>
  <c r="F10" i="40"/>
  <c r="H10" i="40"/>
  <c r="F27" i="69"/>
  <c r="F27" i="11"/>
  <c r="F28" i="12"/>
  <c r="C29" i="12" s="1"/>
  <c r="D28" i="12" s="1"/>
  <c r="F27" i="68"/>
  <c r="R50" i="34"/>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47" i="68"/>
  <c r="D45" i="68" s="1"/>
  <c r="F45" i="68"/>
  <c r="C29" i="68"/>
  <c r="D27" i="68" s="1"/>
  <c r="C29" i="11"/>
  <c r="D27" i="11" s="1"/>
  <c r="C47" i="11"/>
  <c r="D45" i="11" s="1"/>
  <c r="AB10" i="40"/>
  <c r="U10" i="40"/>
  <c r="AC10" i="40"/>
  <c r="W10" i="40"/>
  <c r="U10" i="39"/>
  <c r="AB10" i="39"/>
  <c r="C47" i="69"/>
  <c r="D45" i="69" s="1"/>
  <c r="C29" i="69"/>
  <c r="D27" i="69" s="1"/>
  <c r="F45" i="69"/>
  <c r="S10" i="40"/>
  <c r="AA10" i="40"/>
  <c r="W10" i="39"/>
  <c r="AC10" i="39"/>
  <c r="S10" i="39"/>
  <c r="AA10" i="3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19" i="9"/>
  <c r="D2" i="37"/>
  <c r="L51" i="15"/>
  <c r="D102" i="9" l="1"/>
  <c r="D21" i="9"/>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7" i="1"/>
  <c r="D20" i="9"/>
  <c r="AO6" i="1"/>
  <c r="AO8" i="1"/>
  <c r="AO9" i="1"/>
  <c r="AO10"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C104" i="9"/>
  <c r="H4" i="52"/>
  <c r="N60" i="9"/>
  <c r="N61" i="9"/>
  <c r="C105" i="9"/>
  <c r="I4" i="52"/>
  <c r="N58" i="9"/>
  <c r="P57" i="9"/>
  <c r="B53" i="72"/>
  <c r="C81" i="9"/>
  <c r="B48" i="72"/>
  <c r="N69" i="9"/>
  <c r="E97" i="9"/>
  <c r="B31" i="72"/>
  <c r="B20" i="72"/>
  <c r="M66" i="9"/>
  <c r="N59" i="9"/>
  <c r="L66" i="9"/>
  <c r="N57" i="9"/>
  <c r="C5" i="74"/>
  <c r="D8" i="52"/>
  <c r="B30" i="72"/>
  <c r="M48" i="9"/>
  <c r="C6" i="74"/>
  <c r="D15" i="53"/>
  <c r="L65" i="9"/>
  <c r="M65" i="9"/>
  <c r="C78" i="9"/>
  <c r="C73" i="9"/>
  <c r="M55" i="9"/>
  <c r="D59" i="9"/>
  <c r="M54" i="9"/>
  <c r="H102" i="9"/>
  <c r="D7" i="53"/>
  <c r="B21" i="72"/>
  <c r="E96" i="9"/>
  <c r="H108" i="9"/>
  <c r="B52" i="72"/>
  <c r="E4" i="52"/>
  <c r="D5" i="53"/>
  <c r="D6" i="53"/>
  <c r="B22" i="72"/>
  <c r="D122" i="9"/>
  <c r="D123" i="9"/>
  <c r="D9" i="52"/>
  <c r="L67" i="9"/>
  <c r="M67" i="9"/>
  <c r="M69" i="9"/>
  <c r="C68" i="9"/>
  <c r="D54" i="9"/>
  <c r="D13" i="53"/>
  <c r="D14" i="53"/>
  <c r="B32" i="72"/>
  <c r="F4" i="52"/>
  <c r="B51" i="72"/>
  <c r="L64" i="9"/>
  <c r="M64" i="9"/>
  <c r="C72" i="9"/>
  <c r="C79" i="9"/>
  <c r="C80" i="9"/>
  <c r="E80" i="9"/>
  <c r="E81" i="9"/>
  <c r="G4" i="52"/>
  <c r="C67" i="9"/>
  <c r="B49" i="72"/>
  <c r="G118" i="9"/>
  <c r="F118" i="9"/>
  <c r="F119" i="9"/>
  <c r="F5" i="52"/>
  <c r="C96" i="9"/>
  <c r="C97" i="9"/>
  <c r="D58" i="9"/>
  <c r="D56" i="9"/>
  <c r="D4" i="52"/>
  <c r="B47" i="72"/>
  <c r="L63" i="9"/>
  <c r="M63" i="9"/>
  <c r="E118" i="9"/>
  <c r="D118" i="9"/>
  <c r="D119" i="9"/>
  <c r="D5" i="52"/>
  <c r="D55" i="9"/>
  <c r="M53" i="9"/>
  <c r="C85" i="9"/>
  <c r="C95" i="9"/>
  <c r="C64" i="9"/>
  <c r="C63" i="9"/>
  <c r="H107" i="9"/>
  <c r="M49" i="9"/>
  <c r="L68" i="9"/>
  <c r="M68" i="9"/>
  <c r="H119" i="9"/>
  <c r="H5" i="5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<sst xmlns="http://schemas.openxmlformats.org/spreadsheetml/2006/main" count="7886" uniqueCount="3442">
  <si>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</si>
  <si>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</si>
  <si>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</si>
  <si>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</si>
  <si>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</si>
  <si>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</si>
  <si>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</si>
  <si>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</si>
  <si>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</si>
  <si>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</si>
  <si>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</si>
  <si>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</si>
  <si>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</si>
  <si>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</si>
  <si>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</si>
  <si>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</si>
  <si>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</si>
  <si>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</si>
  <si>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</si>
  <si>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</si>
  <si>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</si>
  <si>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</si>
  <si>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</si>
  <si>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</si>
  <si>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</si>
  <si>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</si>
  <si>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</si>
  <si>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</si>
  <si>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</si>
  <si>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</si>
  <si>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</si>
  <si>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</si>
  <si>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</si>
  <si>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</si>
  <si>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</si>
  <si>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</si>
  <si>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</si>
  <si>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</si>
  <si>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</si>
  <si>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</si>
  <si>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</si>
  <si>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</si>
  <si>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</si>
  <si>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</si>
  <si>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</si>
  <si>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</si>
  <si>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</si>
  <si>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</si>
  <si>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</si>
  <si>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</si>
  <si>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</si>
  <si>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</si>
  <si>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</si>
  <si>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</si>
  <si>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</si>
  <si>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</si>
  <si>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</si>
  <si>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</si>
  <si>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</si>
  <si>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</si>
  <si>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</si>
  <si>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</si>
  <si>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</si>
  <si>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</si>
  <si>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</si>
  <si>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</si>
  <si>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</si>
  <si>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</si>
  <si>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</si>
  <si>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</si>
  <si>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</si>
  <si>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</si>
  <si>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</si>
  <si>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</si>
  <si>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</si>
  <si>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</si>
  <si>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</si>
  <si>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</si>
  <si>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</si>
  <si>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</si>
  <si>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</si>
  <si>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</si>
  <si>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</si>
  <si>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</si>
  <si>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</si>
  <si>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</si>
  <si>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</si>
  <si>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</si>
  <si>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</si>
  <si>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</si>
  <si>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</si>
  <si>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</si>
  <si>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</si>
  <si>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</si>
  <si>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</si>
  <si>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</si>
  <si>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</si>
  <si>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</si>
  <si>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</si>
  <si>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</si>
  <si>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</si>
  <si>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</si>
  <si>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</si>
  <si>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</si>
  <si>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</si>
  <si>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</si>
  <si>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</si>
  <si>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</si>
  <si>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</si>
  <si>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</si>
  <si>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</si>
  <si>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</si>
  <si>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</si>
  <si>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</si>
  <si>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</si>
  <si>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</si>
  <si>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</si>
  <si>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</si>
  <si>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</si>
  <si>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</si>
  <si>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</si>
  <si>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</si>
  <si>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</si>
  <si>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</si>
  <si>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</si>
  <si>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</si>
  <si>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</si>
  <si>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</si>
  <si>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</si>
  <si>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</si>
  <si>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</si>
  <si>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</si>
  <si>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</si>
  <si>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</si>
  <si>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</si>
  <si>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</si>
  <si>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</si>
  <si>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</si>
  <si>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</si>
  <si>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</si>
  <si>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</si>
  <si>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</si>
  <si>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</si>
  <si>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</si>
  <si>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</si>
  <si>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</si>
  <si>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</si>
  <si>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</si>
  <si>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</si>
  <si>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</si>
  <si>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</si>
  <si>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</si>
  <si>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</si>
  <si>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</si>
  <si>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</si>
  <si>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</si>
  <si>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</si>
  <si>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</si>
  <si>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</si>
  <si>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</si>
  <si>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</si>
  <si>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</si>
  <si>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</si>
  <si>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</si>
  <si>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</si>
  <si>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</si>
  <si>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</si>
  <si>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</si>
  <si>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</si>
  <si>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</si>
  <si>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</si>
  <si>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</si>
  <si>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</si>
  <si>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</si>
  <si>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</si>
  <si>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</si>
  <si>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</si>
  <si>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</si>
  <si>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</si>
  <si>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</si>
  <si>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</si>
  <si>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</si>
  <si>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</si>
  <si>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</si>
  <si>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</si>
  <si>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</si>
  <si>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</si>
  <si>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</si>
  <si>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</si>
  <si>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</si>
  <si>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</si>
  <si>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</si>
  <si>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</si>
  <si>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</si>
  <si>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</si>
  <si>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</si>
  <si>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</si>
  <si>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</si>
  <si>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</si>
  <si>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</si>
  <si>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</si>
  <si>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</si>
  <si>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</si>
  <si>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</si>
  <si>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</si>
  <si>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</si>
  <si>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</si>
  <si>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</si>
  <si>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</si>
  <si>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</si>
  <si>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</si>
  <si>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</si>
  <si>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</si>
  <si>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</si>
  <si>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</si>
  <si>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</si>
  <si>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</si>
  <si>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</si>
  <si>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</si>
  <si>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</si>
  <si>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</si>
  <si>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</si>
  <si>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</si>
  <si>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</si>
  <si>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</si>
  <si>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</si>
  <si>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</si>
  <si>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</si>
  <si>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</si>
  <si>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</si>
  <si>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</si>
  <si>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</si>
  <si>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</si>
  <si>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</si>
  <si>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</si>
  <si>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</si>
  <si>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</si>
  <si>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</si>
  <si>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</si>
  <si>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</si>
  <si>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</si>
  <si>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</si>
  <si>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</si>
  <si>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</si>
  <si>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</si>
  <si>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</si>
  <si>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</si>
  <si>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</si>
  <si>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</si>
  <si>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</si>
  <si>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</si>
  <si>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</si>
  <si>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</si>
  <si>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</si>
  <si>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</si>
  <si>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</si>
  <si>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</si>
  <si>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</si>
  <si>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</si>
  <si>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</si>
  <si>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</si>
  <si>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</si>
  <si>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</si>
  <si>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</si>
  <si>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</si>
  <si>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</si>
  <si>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</si>
  <si>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</si>
  <si>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</si>
  <si>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</si>
  <si>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</si>
  <si>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</si>
  <si>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</si>
  <si>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</si>
  <si>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</si>
  <si>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</si>
  <si>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</si>
  <si>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</si>
  <si>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</si>
  <si>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</si>
  <si>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</si>
  <si>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</si>
  <si>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</si>
  <si>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</si>
  <si>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</si>
  <si>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</si>
  <si>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</si>
  <si>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</si>
  <si>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</si>
  <si>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</si>
  <si>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</si>
  <si>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</si>
  <si>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</si>
  <si>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</si>
  <si>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</si>
  <si>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</si>
  <si>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</si>
  <si>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</si>
  <si>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</si>
  <si>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</si>
  <si>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</si>
  <si>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</si>
  <si>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</si>
  <si>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</si>
  <si>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</si>
  <si>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</si>
  <si>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</si>
  <si>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</si>
  <si>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</si>
  <si>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</si>
  <si>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</si>
  <si>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</si>
  <si>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</si>
  <si>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</si>
  <si>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</si>
  <si>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</si>
  <si>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</si>
  <si>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</si>
  <si>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</si>
  <si>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</si>
  <si>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</si>
  <si>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</si>
  <si>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</si>
  <si>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</si>
  <si>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</si>
  <si>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</si>
  <si>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</si>
  <si>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</si>
  <si>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</si>
  <si>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</si>
  <si>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</si>
  <si>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</si>
  <si>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</si>
  <si>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</si>
  <si>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</si>
  <si>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</si>
  <si>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</si>
  <si>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</si>
  <si>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</si>
  <si>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</si>
  <si>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</si>
  <si>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</si>
  <si>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</si>
  <si>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</si>
  <si>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</si>
  <si>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</si>
  <si>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</si>
  <si>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</si>
  <si>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</si>
  <si>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</si>
  <si>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</si>
  <si>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</si>
  <si>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</si>
  <si>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</si>
  <si>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</si>
  <si>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</si>
  <si>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</si>
  <si>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</si>
  <si>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</si>
  <si>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</si>
  <si>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</si>
  <si>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</si>
  <si>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</si>
  <si>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</si>
  <si>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</si>
  <si>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</si>
  <si>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</si>
  <si>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</si>
  <si>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</si>
  <si>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</si>
  <si>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</si>
  <si>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</si>
  <si>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</si>
  <si>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</si>
  <si>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</si>
  <si>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</si>
  <si>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</si>
  <si>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</si>
  <si>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</si>
  <si>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</si>
  <si>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</si>
  <si>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</si>
  <si>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</si>
  <si>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</si>
  <si>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</si>
  <si>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</si>
  <si>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</si>
  <si>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</si>
  <si>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</si>
  <si>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</si>
  <si>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</si>
  <si>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</si>
  <si>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</si>
  <si>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</si>
  <si>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</si>
  <si>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</si>
  <si>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</si>
  <si>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</si>
  <si>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</si>
  <si>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</si>
  <si>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</si>
  <si>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</si>
  <si>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</si>
  <si>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</si>
  <si>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</si>
  <si>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</si>
  <si>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</si>
  <si>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</si>
  <si>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</si>
  <si>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</si>
  <si>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</si>
  <si>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</si>
  <si>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</si>
  <si>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</si>
  <si>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</si>
  <si>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</si>
  <si>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</si>
  <si>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</si>
  <si>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</si>
  <si>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</si>
  <si>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</si>
  <si>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</si>
  <si>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</si>
  <si>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</si>
  <si>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</si>
  <si>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</si>
  <si>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</si>
  <si>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</si>
  <si>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</si>
  <si>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</si>
  <si>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</si>
  <si>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</si>
  <si>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</si>
  <si>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</si>
  <si>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</si>
  <si>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</si>
  <si>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</si>
  <si>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</si>
  <si>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</si>
  <si>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</si>
  <si>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</si>
  <si>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</si>
  <si>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</si>
  <si>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</si>
  <si>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</si>
  <si>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</si>
  <si>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</si>
  <si>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</si>
  <si>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</si>
  <si>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</si>
  <si>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</si>
  <si>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</si>
  <si>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</si>
  <si>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</si>
  <si>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</si>
  <si>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</si>
  <si>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</si>
  <si>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</si>
  <si>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</si>
  <si>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</si>
  <si>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</si>
  <si>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</si>
  <si>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</si>
  <si>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</si>
  <si>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</si>
  <si>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</si>
  <si>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</si>
  <si>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</si>
  <si>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</si>
  <si>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</si>
  <si>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</si>
  <si>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</si>
  <si>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</si>
  <si>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</si>
  <si>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</si>
  <si>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</si>
  <si>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</si>
  <si>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</si>
  <si>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</si>
  <si>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</si>
  <si>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</si>
  <si>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</si>
  <si>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</si>
  <si>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</si>
  <si>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</si>
  <si>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</si>
  <si>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</si>
  <si>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</si>
  <si>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</si>
  <si>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</si>
  <si>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</si>
  <si>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</si>
  <si>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</si>
  <si>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</si>
  <si>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</si>
  <si>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</si>
  <si>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</si>
  <si>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</si>
  <si>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</si>
  <si>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</si>
  <si>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</si>
  <si>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</si>
  <si>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</si>
  <si>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</si>
  <si>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</si>
  <si>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</si>
  <si>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</si>
  <si>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</si>
  <si>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</si>
  <si>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</si>
  <si>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</si>
  <si>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</si>
  <si>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</si>
  <si>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</si>
  <si>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</si>
  <si>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</si>
  <si>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</si>
  <si>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</si>
  <si>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</si>
  <si>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</si>
  <si>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</si>
  <si>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</si>
  <si>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</si>
  <si>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</si>
  <si>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</si>
  <si>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</si>
  <si>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</si>
  <si>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</si>
  <si>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</si>
  <si>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</si>
  <si>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</si>
  <si>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</si>
  <si>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</si>
  <si>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</si>
  <si>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</si>
  <si>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</si>
  <si>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</si>
  <si>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</si>
  <si>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</si>
  <si>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</si>
  <si>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</si>
  <si>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</si>
  <si>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</si>
  <si>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</si>
  <si>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</si>
  <si>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</si>
  <si>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</si>
  <si>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</si>
  <si>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</si>
  <si>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</si>
  <si>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</si>
  <si>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</si>
  <si>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</si>
  <si>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</si>
  <si>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</si>
  <si>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</si>
  <si>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</si>
  <si>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</si>
  <si>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</si>
  <si>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</si>
  <si>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</si>
  <si>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</si>
  <si>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</si>
  <si>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</si>
  <si>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</si>
  <si>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</si>
  <si>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</si>
  <si>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</si>
  <si>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</si>
  <si>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</si>
  <si>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</si>
  <si>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</si>
  <si>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</si>
  <si>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</si>
  <si>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</si>
  <si>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</si>
  <si>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</si>
  <si>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</si>
  <si>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</si>
  <si>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</si>
  <si>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</si>
  <si>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</si>
  <si>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</si>
  <si>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</si>
  <si>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</si>
  <si>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</si>
  <si>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</si>
  <si>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</si>
  <si>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</si>
  <si>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</si>
  <si>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</si>
  <si>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</si>
  <si>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</si>
  <si>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</si>
  <si>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</si>
  <si>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</si>
  <si>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</si>
  <si>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</si>
  <si>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</si>
  <si>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</si>
  <si>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</si>
  <si>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</si>
  <si>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</si>
  <si>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</si>
  <si>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</si>
  <si>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</si>
  <si>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</si>
  <si>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</si>
  <si>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</si>
  <si>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</si>
  <si>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</si>
  <si>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</si>
  <si>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</si>
  <si>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</si>
  <si>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</si>
  <si>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</si>
  <si>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</si>
  <si>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</si>
  <si>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</si>
  <si>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</si>
  <si>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</si>
  <si>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</si>
  <si>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</si>
  <si>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</si>
  <si>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</si>
  <si>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</si>
  <si>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</si>
  <si>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</si>
  <si>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</si>
  <si>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</si>
  <si>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</si>
  <si>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</si>
  <si>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</si>
  <si>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</si>
  <si>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</si>
  <si>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</si>
  <si>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</si>
  <si>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</si>
  <si>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</si>
  <si>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</si>
  <si>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</si>
  <si>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</si>
  <si>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</si>
  <si>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</si>
  <si>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</si>
  <si>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</si>
  <si>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</si>
  <si>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</si>
  <si>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</si>
  <si>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</si>
  <si>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</si>
  <si>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</si>
  <si>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</si>
  <si>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</si>
  <si>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</si>
  <si>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</si>
  <si>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</si>
  <si>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</si>
  <si>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</si>
  <si>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</si>
  <si>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</si>
  <si>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</si>
  <si>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</si>
  <si>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</si>
  <si>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</si>
  <si>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</si>
  <si>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</si>
  <si>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</si>
  <si>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</si>
  <si>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</si>
  <si>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</si>
  <si>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</si>
  <si>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</si>
  <si>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</si>
  <si>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</si>
  <si>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</si>
  <si>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</si>
  <si>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</si>
  <si>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</si>
  <si>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</si>
  <si>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</si>
  <si>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</si>
  <si>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</si>
  <si>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</si>
  <si>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</si>
  <si>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</si>
  <si>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</si>
  <si>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</si>
  <si>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</si>
  <si>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</si>
  <si>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</si>
  <si>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</si>
  <si>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</si>
  <si>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</si>
  <si>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</si>
  <si>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</si>
  <si>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</si>
  <si>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</si>
  <si>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</si>
  <si>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</si>
  <si>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</si>
  <si>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</si>
  <si>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</si>
  <si>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</si>
  <si>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</si>
  <si>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</si>
  <si>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</si>
  <si>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</si>
  <si>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</si>
  <si>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</si>
  <si>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</si>
  <si>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</si>
  <si>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</si>
  <si>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</si>
  <si>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</si>
  <si>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</si>
  <si>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</si>
  <si>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</si>
  <si>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</si>
  <si>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</si>
  <si>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</si>
  <si>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</si>
  <si>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</si>
  <si>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</si>
  <si>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</si>
  <si>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</si>
  <si>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</si>
  <si>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</si>
  <si>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</si>
  <si>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</si>
  <si>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</si>
  <si>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</si>
  <si>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</si>
  <si>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</si>
  <si>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</si>
  <si>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</si>
  <si>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</si>
  <si>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</si>
  <si>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</si>
  <si>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</si>
  <si>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</si>
  <si>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</si>
  <si>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</si>
  <si>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</si>
  <si>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</si>
  <si>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</si>
  <si>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</si>
  <si>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</si>
  <si>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</si>
  <si>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</si>
  <si>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</si>
  <si>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</si>
  <si>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</si>
  <si>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</si>
  <si>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</si>
  <si>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</si>
  <si>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</si>
  <si>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</si>
  <si>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</si>
  <si>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</si>
  <si>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</si>
  <si>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</si>
  <si>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</si>
  <si>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</si>
  <si>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</si>
  <si>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</si>
  <si>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</si>
  <si>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</si>
  <si>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</si>
  <si>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</si>
  <si>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</si>
  <si>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</si>
  <si>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</si>
  <si>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</si>
  <si>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</si>
  <si>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</si>
  <si>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</si>
  <si>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</si>
  <si>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</si>
  <si>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</si>
  <si>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</si>
  <si>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</si>
  <si>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</si>
  <si>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</si>
  <si>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</si>
  <si>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</si>
  <si>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</si>
  <si>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</si>
  <si>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</si>
  <si>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</si>
  <si>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</si>
  <si>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</si>
  <si>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</si>
  <si>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</si>
  <si>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</si>
  <si>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</si>
  <si>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</si>
  <si>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</si>
  <si>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</si>
  <si>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</si>
  <si>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</si>
  <si>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</si>
  <si>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</si>
  <si>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</si>
  <si>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</si>
  <si>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</si>
  <si>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</si>
  <si>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</si>
  <si>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</si>
  <si>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</si>
  <si>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</si>
  <si>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</si>
  <si>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</si>
  <si>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</si>
  <si>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</si>
  <si>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</si>
  <si>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</si>
  <si>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</si>
  <si>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</si>
  <si>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</si>
  <si>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</si>
  <si>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</si>
  <si>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</si>
  <si>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</si>
  <si>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</si>
  <si>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</si>
  <si>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</si>
  <si>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</si>
  <si>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</si>
  <si>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</si>
  <si>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</si>
  <si>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</si>
  <si>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</si>
  <si>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</si>
  <si>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</si>
  <si>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</si>
  <si>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</si>
  <si>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</si>
  <si>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</si>
  <si>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</si>
  <si>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</si>
  <si>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</si>
  <si>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</si>
  <si>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</si>
  <si>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</si>
  <si>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</si>
  <si>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</si>
  <si>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</si>
  <si>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</si>
  <si>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</si>
  <si>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</si>
  <si>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</si>
  <si>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</si>
  <si>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</si>
  <si>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</si>
  <si>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</si>
  <si>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</si>
  <si>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</si>
  <si>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</si>
  <si>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</si>
  <si>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</si>
  <si>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</si>
  <si>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</si>
  <si>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</si>
  <si>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</si>
  <si>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</si>
  <si>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</si>
  <si>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</si>
  <si>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</si>
  <si>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</si>
  <si>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</si>
  <si>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</si>
  <si>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</si>
  <si>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</si>
  <si>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</si>
  <si>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</si>
  <si>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</si>
  <si>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</si>
  <si>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</si>
  <si>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</si>
  <si>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</si>
  <si>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</si>
  <si>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</si>
  <si>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</si>
  <si>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</si>
  <si>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</si>
  <si>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</si>
  <si>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</si>
  <si>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</si>
  <si>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</si>
  <si>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</si>
  <si>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</si>
  <si>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</si>
  <si>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</si>
  <si>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</si>
  <si>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</si>
  <si>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</si>
  <si>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</si>
  <si>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</si>
  <si>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</si>
  <si>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</si>
  <si>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</si>
  <si>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</si>
  <si>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</si>
  <si>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</si>
  <si>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</si>
  <si>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</si>
  <si>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</si>
  <si>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</si>
  <si>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</si>
  <si>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</si>
  <si>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</si>
  <si>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</si>
  <si>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</si>
  <si>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</si>
  <si>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</si>
  <si>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</si>
  <si>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</si>
  <si>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</si>
  <si>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</si>
  <si>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</si>
  <si>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</si>
  <si>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</si>
  <si>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</si>
  <si>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</si>
  <si>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</si>
  <si>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</si>
  <si>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</si>
  <si>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</si>
  <si>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</si>
  <si>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</si>
  <si>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</si>
  <si>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</si>
  <si>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</si>
  <si>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</si>
  <si>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</si>
  <si>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</si>
  <si>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</si>
  <si>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</si>
  <si>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</si>
  <si>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</si>
  <si>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</si>
  <si>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</si>
  <si>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</si>
  <si>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</si>
  <si>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</si>
  <si>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</si>
  <si>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</si>
  <si>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</si>
  <si>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</si>
  <si>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</si>
  <si>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</si>
  <si>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</si>
  <si>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</si>
  <si>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</si>
  <si>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</si>
  <si>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</si>
  <si>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</si>
  <si>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</si>
  <si>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</si>
  <si>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</si>
  <si>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</si>
  <si>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</si>
  <si>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</si>
  <si>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</si>
  <si>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</si>
  <si>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</si>
  <si>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</si>
  <si>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</si>
  <si>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</si>
  <si>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</si>
  <si>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</si>
  <si>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</si>
  <si>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</si>
  <si>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</si>
  <si>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</si>
  <si>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</si>
  <si>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</si>
  <si>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</si>
  <si>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</si>
  <si>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</si>
  <si>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</si>
  <si>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</si>
  <si>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</si>
  <si>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</si>
  <si>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</si>
  <si>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</si>
  <si>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</si>
  <si>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</si>
  <si>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</si>
  <si>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</si>
  <si>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</si>
  <si>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</si>
  <si>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</si>
  <si>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</si>
  <si>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</si>
  <si>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</si>
  <si>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</si>
  <si>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</si>
  <si>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</si>
  <si>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</si>
  <si>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</si>
  <si>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</si>
  <si>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</si>
  <si>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</si>
  <si>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</si>
  <si>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</si>
  <si>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</si>
  <si>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</si>
  <si>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</si>
  <si>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</si>
  <si>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</si>
  <si>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</si>
  <si>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</si>
  <si>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</si>
  <si>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</si>
  <si>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</si>
  <si>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</si>
  <si>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</si>
  <si>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</si>
  <si>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</si>
  <si>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</si>
  <si>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</si>
  <si>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</si>
  <si>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</si>
  <si>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</si>
  <si>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</si>
  <si>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</si>
  <si>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</si>
  <si>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</si>
  <si>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</si>
  <si>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</si>
  <si>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</si>
  <si>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</si>
  <si>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</si>
  <si>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</si>
  <si>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</si>
  <si>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</si>
  <si>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</si>
  <si>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</si>
  <si>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</si>
  <si>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</si>
  <si>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</si>
  <si>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</si>
  <si>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</si>
  <si>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</si>
  <si>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</si>
  <si>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</si>
  <si>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</si>
  <si>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</si>
  <si>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</si>
  <si>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</si>
  <si>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</si>
  <si>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</si>
  <si>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</si>
  <si>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</si>
  <si>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</si>
  <si>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</si>
  <si>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</si>
  <si>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</si>
  <si>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</si>
  <si>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</si>
  <si>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</si>
  <si>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</si>
  <si>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</si>
  <si>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</si>
  <si>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</si>
  <si>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</si>
  <si>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</si>
  <si>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</si>
  <si>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</si>
  <si>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</si>
  <si>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</si>
  <si>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</si>
  <si>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</si>
  <si>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</si>
  <si>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</si>
  <si>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</si>
  <si>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</si>
  <si>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</si>
  <si>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</si>
  <si>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</si>
  <si>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</si>
  <si>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</si>
  <si>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</si>
  <si>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</si>
  <si>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</si>
  <si>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</si>
  <si>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</si>
  <si>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</si>
  <si>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</si>
  <si>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</si>
  <si>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</si>
  <si>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</si>
  <si>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</si>
  <si>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</si>
  <si>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</si>
  <si>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</si>
  <si>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</si>
  <si>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</si>
  <si>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</si>
  <si>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</si>
  <si>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</si>
  <si>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</si>
  <si>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</si>
  <si>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</si>
  <si>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</si>
  <si>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</si>
  <si>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</si>
  <si>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</si>
  <si>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</si>
  <si>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</si>
  <si>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</si>
  <si>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</si>
  <si>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</si>
  <si>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</si>
  <si>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</si>
  <si>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</si>
  <si>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</si>
  <si>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</si>
  <si>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</si>
  <si>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</si>
  <si>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</si>
  <si>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</si>
  <si>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</si>
  <si>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</si>
  <si>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</si>
  <si>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</si>
  <si>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</si>
  <si>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</si>
  <si>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</si>
  <si>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</si>
  <si>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</si>
  <si>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</si>
  <si>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</si>
  <si>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</si>
  <si>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</si>
  <si>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</si>
  <si>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</si>
  <si>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</si>
  <si>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</si>
  <si>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</si>
  <si>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</si>
  <si>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</si>
  <si>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</si>
  <si>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</si>
  <si>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</si>
  <si>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</si>
  <si>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</si>
  <si>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</si>
  <si>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</si>
  <si>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</si>
  <si>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</si>
  <si>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</si>
  <si>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</si>
  <si>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</si>
  <si>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</si>
  <si>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</si>
  <si>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</si>
  <si>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</si>
  <si>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</si>
  <si>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</si>
  <si>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</si>
  <si>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</si>
  <si>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</si>
  <si>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</si>
  <si>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</si>
  <si>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</si>
  <si>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</si>
  <si>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</si>
  <si>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</si>
  <si>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</si>
  <si>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</si>
  <si>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</si>
  <si>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</si>
  <si>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</si>
  <si>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</si>
  <si>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</si>
  <si>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</si>
  <si>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</si>
  <si>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</si>
  <si>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</si>
  <si>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</si>
  <si>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</si>
  <si>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</si>
  <si>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</si>
  <si>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</si>
  <si>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</si>
  <si>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</si>
  <si>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</si>
  <si>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</si>
  <si>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</si>
  <si>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</si>
  <si>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</si>
  <si>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</si>
  <si>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</si>
  <si>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</si>
  <si>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</si>
  <si>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</si>
  <si>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</si>
  <si>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</si>
  <si>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</si>
  <si>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</si>
  <si>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</si>
  <si>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</si>
  <si>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</si>
  <si>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</si>
  <si>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</si>
  <si>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</si>
  <si>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</si>
  <si>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</si>
  <si>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</si>
  <si>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</si>
  <si>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</si>
  <si>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</si>
  <si>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</si>
  <si>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</si>
  <si>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</si>
  <si>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</si>
  <si>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</si>
  <si>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</si>
  <si>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</si>
  <si>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</si>
  <si>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</si>
  <si>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</si>
  <si>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</si>
  <si>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</si>
  <si>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</si>
  <si>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</si>
  <si>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</si>
  <si>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</si>
  <si>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</si>
  <si>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</si>
  <si>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</si>
  <si>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</si>
  <si>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</si>
  <si>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</si>
  <si>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</si>
  <si>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</si>
  <si>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</si>
  <si>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</si>
  <si>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</si>
  <si>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</si>
  <si>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</si>
  <si>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</si>
  <si>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</si>
  <si>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</si>
  <si>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</si>
  <si>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</si>
  <si>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</si>
  <si>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</si>
  <si>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</si>
  <si>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</si>
  <si>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</si>
  <si>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</si>
  <si>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</si>
  <si>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</si>
  <si>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</si>
  <si>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</si>
  <si>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</si>
  <si>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</si>
  <si>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</si>
  <si>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</si>
  <si>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</si>
  <si>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</si>
  <si>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</si>
  <si>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</si>
  <si>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</si>
  <si>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</si>
  <si>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</si>
  <si>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</si>
  <si>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</si>
  <si>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</si>
  <si>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</si>
  <si>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</si>
  <si>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</si>
  <si>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</si>
  <si>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</si>
  <si>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</si>
  <si>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</si>
  <si>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</si>
  <si>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</si>
  <si>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</si>
  <si>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</si>
  <si>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</si>
  <si>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</si>
  <si>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</si>
  <si>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</si>
  <si>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</si>
  <si>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</si>
  <si>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</si>
  <si>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</si>
  <si>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</si>
  <si>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</si>
  <si>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</si>
  <si>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</si>
  <si>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</si>
  <si>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</si>
  <si>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</si>
  <si>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</si>
  <si>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</si>
  <si>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</si>
  <si>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</si>
  <si>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</si>
  <si>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</si>
  <si>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</si>
  <si>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</si>
  <si>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</si>
  <si>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</si>
  <si>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</si>
  <si>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</si>
  <si>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</si>
  <si>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</si>
  <si>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</si>
  <si>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</si>
  <si>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</si>
  <si>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</si>
  <si>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</si>
  <si>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</si>
  <si>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</si>
  <si>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</si>
  <si>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</si>
  <si>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</si>
  <si>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</si>
  <si>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</si>
  <si>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</si>
  <si>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</si>
  <si>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</si>
  <si>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</si>
  <si>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</si>
  <si>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</si>
  <si>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</si>
  <si>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</si>
  <si>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</si>
  <si>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</si>
  <si>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</si>
  <si>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</si>
  <si>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</si>
  <si>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</si>
  <si>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</si>
  <si>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</si>
  <si>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</si>
  <si>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</si>
  <si>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</si>
  <si>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</si>
  <si>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</si>
  <si>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</si>
  <si>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</si>
  <si>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</si>
  <si>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</si>
  <si>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</si>
  <si>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</si>
  <si>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</si>
  <si>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</si>
  <si>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</si>
  <si>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</si>
  <si>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</si>
  <si>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</si>
  <si>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</si>
  <si>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</si>
  <si>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</si>
  <si>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</si>
  <si>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</si>
  <si>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</si>
  <si>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</si>
  <si>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</si>
  <si>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</si>
  <si>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</si>
  <si>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</si>
  <si>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</si>
  <si>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</si>
  <si>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</si>
  <si>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</si>
  <si>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</si>
  <si>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</si>
  <si>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</si>
  <si>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</si>
  <si>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</si>
  <si>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</si>
  <si>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</si>
  <si>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</si>
  <si>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</si>
  <si>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</si>
  <si>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</si>
  <si>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</si>
  <si>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</si>
  <si>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</si>
  <si>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</si>
  <si>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</si>
  <si>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</si>
  <si>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</si>
  <si>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</si>
  <si>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</si>
  <si>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</si>
  <si>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</si>
  <si>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</si>
  <si>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</si>
  <si>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</si>
  <si>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</si>
  <si>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</si>
  <si>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</si>
  <si>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</si>
  <si>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</si>
  <si>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</si>
  <si>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</si>
  <si>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</si>
  <si>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</si>
  <si>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</si>
  <si>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</si>
  <si>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</si>
  <si>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</si>
  <si>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</si>
  <si>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</si>
  <si>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</si>
  <si>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</si>
  <si>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</si>
  <si>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</si>
  <si>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</si>
  <si>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</si>
  <si>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</si>
  <si>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</si>
  <si>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</si>
  <si>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</si>
  <si>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</si>
  <si>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</si>
  <si>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</si>
  <si>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</si>
  <si>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</si>
  <si>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</si>
  <si>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</si>
  <si>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</si>
  <si>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</si>
  <si>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</si>
  <si>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</si>
  <si>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</si>
  <si>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</si>
  <si>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</si>
  <si>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</si>
  <si>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</si>
  <si>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</si>
  <si>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</si>
  <si>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</si>
  <si>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</si>
  <si>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</si>
  <si>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</si>
  <si>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</si>
  <si>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</si>
  <si>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</si>
  <si>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</si>
  <si>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</si>
  <si>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</si>
  <si>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</si>
  <si>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</si>
  <si>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</si>
  <si>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</si>
  <si>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</si>
  <si>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</si>
  <si>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</si>
  <si>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</si>
  <si>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</si>
  <si>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</si>
  <si>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</si>
  <si>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</si>
  <si>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</si>
  <si>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</si>
  <si>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</si>
  <si>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</si>
  <si>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</si>
  <si>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</si>
  <si>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</si>
  <si>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</si>
  <si>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</si>
  <si>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</si>
  <si>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</si>
  <si>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</si>
  <si>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</si>
  <si>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</si>
  <si>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</si>
  <si>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</si>
  <si>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</si>
  <si>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</si>
  <si>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</si>
  <si>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</si>
  <si>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</si>
  <si>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</si>
  <si>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</si>
  <si>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</si>
  <si>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</si>
  <si>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</si>
  <si>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</si>
  <si>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</si>
  <si>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</si>
  <si>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</si>
  <si>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</si>
  <si>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</si>
  <si>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</si>
  <si>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</si>
  <si>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</si>
  <si>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</si>
  <si>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</si>
  <si>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</si>
  <si>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</si>
  <si>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</si>
  <si>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</si>
  <si>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</si>
  <si>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</si>
  <si>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</si>
  <si>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</si>
  <si>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</si>
  <si>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</si>
  <si>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</si>
  <si>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</si>
  <si>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</si>
  <si>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</si>
  <si>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</si>
  <si>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</si>
  <si>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</si>
  <si>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</si>
  <si>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</si>
  <si>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</si>
  <si>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</si>
  <si>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</si>
  <si>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</si>
  <si>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</si>
  <si>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</si>
  <si>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</si>
  <si>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</si>
  <si>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</si>
  <si>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</si>
  <si>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</si>
  <si>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</si>
  <si>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</si>
  <si>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</si>
  <si>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</si>
  <si>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</si>
  <si>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</si>
  <si>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</si>
  <si>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</si>
  <si>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</si>
  <si>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</si>
  <si>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</si>
  <si>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</si>
  <si>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</si>
  <si>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</si>
  <si>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</si>
  <si>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</si>
  <si>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</si>
  <si>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</si>
  <si>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</si>
  <si>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</si>
  <si>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</si>
  <si>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</si>
  <si>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</si>
  <si>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</si>
  <si>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</si>
  <si>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</si>
  <si>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</si>
  <si>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</si>
  <si>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</si>
  <si>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</si>
  <si>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</si>
  <si>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</si>
  <si>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</si>
  <si>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</si>
  <si>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</si>
  <si>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</si>
  <si>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</si>
  <si>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</si>
  <si>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</si>
  <si>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</si>
  <si>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</si>
  <si>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</si>
  <si>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</si>
  <si>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</si>
  <si>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</si>
  <si>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</si>
  <si>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</si>
  <si>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</si>
  <si>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</si>
  <si>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</si>
  <si>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</si>
  <si>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</si>
  <si>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</si>
  <si>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</si>
  <si>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</si>
  <si>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</si>
  <si>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</si>
  <si>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</si>
  <si>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</si>
  <si>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</si>
  <si>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</si>
  <si>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</si>
  <si>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</si>
  <si>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</si>
  <si>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</si>
  <si>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</si>
  <si>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</si>
  <si>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</si>
  <si>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</si>
  <si>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</si>
  <si>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</si>
  <si>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</si>
  <si>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</si>
  <si>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</si>
  <si>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</si>
  <si>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</si>
  <si>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</si>
  <si>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</si>
  <si>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</si>
  <si>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</si>
  <si>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</si>
  <si>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</si>
  <si>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</si>
  <si>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</si>
  <si>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</si>
  <si>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</si>
  <si>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</si>
  <si>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</si>
  <si>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</si>
  <si>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</si>
  <si>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</si>
  <si>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</si>
  <si>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</si>
  <si>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</si>
  <si>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</si>
  <si>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</si>
  <si>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</si>
  <si>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</si>
  <si>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</si>
  <si>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</si>
  <si>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</si>
  <si>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</si>
  <si>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</si>
  <si>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</si>
  <si>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</si>
  <si>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</si>
  <si>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</si>
  <si>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</si>
  <si>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</si>
  <si>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</si>
  <si>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</si>
  <si>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</si>
  <si>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</si>
  <si>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</si>
  <si>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</si>
  <si>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</si>
  <si>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</si>
  <si>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</si>
  <si>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</si>
  <si>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</si>
  <si>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</si>
  <si>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</si>
  <si>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</si>
  <si>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</si>
  <si>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</si>
  <si>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</si>
  <si>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</si>
  <si>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</si>
  <si>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</si>
  <si>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</si>
  <si>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</si>
  <si>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</si>
  <si>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</si>
  <si>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</si>
  <si>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</si>
  <si>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</si>
  <si>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</si>
  <si>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</si>
  <si>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</si>
  <si>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</si>
  <si>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</si>
  <si>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</si>
  <si>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</si>
  <si>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</si>
  <si>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</si>
  <si>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</si>
  <si>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</si>
  <si>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</si>
  <si>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</si>
  <si>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</si>
  <si>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</si>
  <si>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</si>
  <si>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</si>
  <si>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</si>
  <si>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</si>
  <si>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</si>
  <si>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</si>
  <si>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</si>
  <si>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</si>
  <si>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</si>
  <si>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</si>
  <si>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</si>
  <si>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</si>
  <si>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</si>
  <si>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</si>
  <si>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</si>
  <si>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</si>
  <si>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</si>
  <si>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</si>
  <si>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</si>
  <si>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</si>
  <si>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</si>
  <si>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</si>
  <si>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</si>
  <si>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</si>
  <si>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</si>
  <si>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</si>
  <si>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</si>
  <si>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</si>
  <si>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</si>
  <si>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</si>
  <si>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</si>
  <si>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</si>
  <si>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</si>
  <si>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</si>
  <si>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</si>
  <si>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</si>
  <si>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</si>
  <si>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</si>
  <si>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</si>
  <si>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</si>
  <si>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</si>
  <si>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</si>
  <si>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</si>
  <si>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</si>
  <si>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</si>
  <si>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</si>
  <si>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</si>
  <si>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</si>
  <si>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</si>
  <si>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</si>
  <si>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</si>
  <si>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</si>
  <si>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</si>
  <si>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</si>
  <si>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</si>
  <si>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</si>
  <si>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</si>
  <si>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</si>
  <si>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</si>
  <si>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</si>
  <si>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</si>
  <si>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</si>
  <si>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</si>
  <si>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</si>
  <si>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</si>
  <si>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</si>
  <si>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</si>
  <si>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</si>
  <si>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</si>
  <si>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</si>
  <si>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</si>
  <si>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</si>
  <si>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</si>
  <si>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</si>
  <si>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</si>
  <si>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</si>
  <si>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</si>
  <si>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</si>
  <si>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</si>
  <si>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</si>
  <si>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</si>
  <si>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</si>
  <si>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</si>
  <si>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</si>
  <si>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</si>
  <si>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</si>
  <si>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</si>
  <si>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</si>
  <si>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</si>
  <si>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</si>
  <si>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</si>
  <si>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</si>
  <si>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</si>
  <si>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</si>
  <si>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</si>
  <si>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</si>
  <si>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</si>
  <si>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</si>
  <si>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</si>
  <si>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</si>
  <si>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</si>
  <si>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</si>
  <si>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</si>
  <si>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</si>
  <si>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</si>
  <si>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</si>
  <si>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</si>
  <si>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</si>
  <si>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</si>
  <si>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</si>
  <si>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</si>
  <si>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</si>
  <si>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</si>
  <si>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</si>
  <si>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</si>
  <si>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</si>
  <si>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</si>
  <si>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</si>
  <si>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</si>
  <si>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</si>
  <si>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</si>
  <si>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</si>
  <si>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</si>
  <si>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</si>
  <si>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</si>
  <si>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</si>
  <si>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</si>
  <si>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</si>
  <si>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</si>
  <si>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</si>
  <si>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</si>
  <si>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</si>
  <si>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</si>
  <si>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</si>
  <si>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</si>
  <si>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</si>
  <si>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</si>
  <si>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</si>
  <si>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</si>
  <si>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</si>
  <si>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</si>
  <si>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</si>
  <si>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</si>
  <si>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</si>
  <si>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</si>
  <si>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</si>
  <si>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</si>
  <si>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</si>
  <si>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</si>
  <si>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</si>
  <si>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</si>
  <si>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</si>
  <si>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</si>
  <si>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</si>
  <si>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</si>
  <si>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</si>
  <si>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</si>
  <si>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</si>
  <si>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</si>
  <si>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</si>
  <si>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</si>
  <si>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</si>
  <si>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</si>
  <si>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</si>
  <si>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</si>
  <si>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</si>
  <si>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</si>
  <si>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</si>
  <si>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</si>
  <si>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</si>
  <si>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</si>
  <si>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</si>
  <si>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</si>
  <si>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</si>
  <si>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</si>
  <si>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</si>
  <si>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</si>
  <si>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</si>
  <si>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</si>
  <si>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</si>
  <si>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</si>
  <si>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</si>
  <si>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</si>
  <si>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</si>
  <si>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</si>
  <si>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</si>
  <si>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</si>
  <si>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</si>
  <si>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</si>
  <si>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</si>
  <si>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</si>
  <si>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</si>
  <si>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</si>
  <si>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</si>
  <si>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</si>
  <si>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</si>
  <si>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</si>
  <si>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</si>
  <si>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</si>
  <si>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</si>
  <si>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</si>
  <si>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</si>
  <si>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</si>
  <si>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</si>
  <si>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</si>
  <si>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</si>
  <si>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</si>
  <si>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</si>
  <si>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</si>
  <si>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</si>
  <si>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</si>
  <si>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</si>
  <si>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</si>
  <si>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</si>
  <si>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</si>
  <si>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</si>
  <si>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</si>
  <si>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</si>
  <si>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</si>
  <si>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</si>
  <si>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</si>
  <si>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</si>
  <si>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</si>
  <si>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</si>
  <si>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</si>
  <si>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</si>
  <si>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</si>
  <si>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</si>
  <si>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</si>
  <si>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</si>
  <si>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</si>
  <si>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</si>
  <si>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</si>
  <si>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</si>
  <si>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</si>
  <si>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</si>
  <si>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</si>
  <si>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</si>
  <si>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</si>
  <si>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</si>
  <si>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</si>
  <si>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</si>
  <si>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</si>
  <si>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</si>
  <si>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</si>
  <si>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</si>
  <si>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</si>
  <si>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</si>
  <si>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</si>
  <si>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</si>
  <si>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</si>
  <si>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</si>
  <si>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</si>
  <si>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</si>
  <si>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</si>
  <si>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</si>
  <si>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</si>
  <si>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</si>
  <si>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</si>
  <si>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</si>
  <si>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</si>
  <si>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</si>
  <si>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</si>
  <si>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</si>
  <si>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</si>
  <si>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</si>
  <si>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</si>
  <si>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</si>
  <si>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</si>
  <si>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</si>
  <si>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</si>
  <si>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</si>
  <si>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</si>
  <si>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</si>
  <si>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</si>
  <si>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</si>
  <si>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</si>
  <si>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</si>
  <si>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</si>
  <si>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</si>
  <si>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</si>
  <si>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</si>
  <si>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</si>
  <si>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</si>
  <si>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</si>
  <si>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</si>
  <si>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</si>
  <si>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</si>
  <si>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</si>
  <si>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</si>
  <si>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</si>
  <si>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</si>
  <si>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</si>
  <si>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</si>
  <si>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</si>
  <si>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</si>
  <si>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</si>
  <si>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</si>
  <si>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</si>
  <si>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</si>
  <si>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</si>
  <si>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</si>
  <si>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</si>
  <si>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</si>
  <si>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</si>
  <si>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</si>
  <si>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</si>
  <si>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</si>
  <si>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</si>
  <si>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</si>
  <si>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</si>
  <si>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</si>
  <si>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</si>
  <si>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</si>
  <si>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</si>
  <si>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</si>
  <si>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</si>
  <si>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</si>
  <si>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</si>
  <si>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</si>
  <si>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</si>
  <si>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</si>
  <si>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</si>
  <si>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</si>
  <si>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</si>
  <si>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</si>
  <si>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</si>
  <si>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</si>
  <si>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</si>
  <si>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</si>
  <si>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</si>
  <si>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</si>
  <si>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</si>
  <si>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</si>
  <si>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</si>
  <si>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</si>
  <si>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</si>
  <si>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</si>
  <si>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</si>
  <si>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</si>
  <si>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</si>
  <si>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</si>
  <si>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</si>
  <si>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</si>
  <si>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</si>
  <si>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</si>
  <si>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</si>
  <si>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</si>
  <si>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</si>
  <si>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</si>
  <si>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</si>
  <si>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</si>
  <si>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</si>
  <si>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</si>
  <si>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</si>
  <si>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</si>
  <si>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</si>
  <si>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</si>
  <si>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</si>
  <si>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</si>
  <si>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</si>
  <si>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</si>
  <si>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</si>
  <si>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</si>
  <si>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</si>
  <si>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</si>
  <si>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</si>
  <si>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</si>
  <si>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</si>
  <si>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</si>
  <si>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</si>
  <si>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</si>
  <si>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</si>
  <si>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</si>
  <si>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</si>
  <si>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</si>
  <si>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</si>
  <si>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</si>
  <si>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</si>
  <si>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</si>
  <si>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</si>
  <si>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</si>
  <si>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</si>
  <si>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</si>
  <si>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</si>
  <si>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</si>
  <si>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</si>
  <si>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</si>
  <si>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</si>
  <si>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</si>
  <si>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</si>
  <si>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</si>
  <si>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</si>
  <si>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</si>
  <si>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</si>
  <si>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</si>
  <si>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</si>
  <si>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</si>
  <si>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</si>
  <si>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</si>
  <si>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</si>
  <si>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</si>
  <si>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</si>
  <si>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</si>
  <si>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</si>
  <si>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</si>
  <si>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</si>
  <si>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</si>
  <si>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</si>
  <si>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</si>
  <si>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</si>
  <si>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</si>
  <si>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</si>
  <si>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</si>
  <si>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</si>
  <si>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</si>
  <si>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</si>
  <si>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</si>
  <si>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</si>
  <si>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</si>
  <si>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</si>
  <si>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</si>
  <si>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</si>
  <si>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</si>
  <si>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</si>
  <si>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</si>
  <si>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</si>
  <si>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</si>
  <si>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</si>
  <si>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</si>
  <si>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</si>
  <si>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</si>
  <si>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</si>
  <si>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</si>
  <si>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</si>
  <si>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</si>
  <si>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</si>
  <si>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</si>
  <si>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</si>
  <si>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</si>
  <si>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</si>
  <si>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</si>
  <si>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</si>
  <si>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</si>
  <si>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</si>
  <si>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</si>
  <si>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</si>
  <si>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</si>
  <si>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</si>
  <si>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</si>
  <si>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</si>
  <si>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</si>
  <si>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</si>
  <si>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</si>
  <si>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</si>
  <si>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</si>
  <si>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</si>
  <si>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</si>
  <si>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</si>
  <si>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</si>
  <si>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</si>
  <si>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</si>
  <si>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</si>
  <si>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</si>
  <si>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</si>
  <si>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</si>
  <si>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</si>
  <si>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</si>
  <si>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</si>
  <si>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</si>
  <si>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</si>
  <si>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</si>
  <si>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</si>
  <si>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</si>
  <si>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</si>
  <si>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</si>
  <si>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</si>
  <si>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</si>
  <si>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</si>
  <si>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</si>
  <si>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</si>
  <si>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</si>
  <si>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</si>
  <si>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</si>
  <si>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</si>
  <si>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</si>
  <si>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</si>
  <si>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</si>
  <si>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</si>
  <si>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</si>
  <si>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</si>
  <si>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</si>
  <si>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</si>
  <si>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</si>
  <si>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</si>
  <si>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</si>
  <si>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</si>
  <si>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</si>
  <si>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</si>
  <si>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</si>
  <si>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</si>
  <si>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</si>
  <si>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</si>
  <si>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</si>
  <si>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</si>
  <si>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</si>
  <si>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</si>
  <si>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</si>
  <si>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</si>
  <si>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</si>
  <si>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</si>
  <si>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</si>
  <si>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</si>
  <si>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</si>
  <si>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</si>
  <si>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</si>
  <si>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</si>
  <si>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</si>
  <si>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</si>
  <si>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</si>
  <si>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</si>
  <si>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</si>
  <si>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</si>
  <si>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</si>
  <si>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</si>
  <si>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</si>
  <si>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</si>
  <si>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</si>
  <si>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</si>
  <si>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</si>
  <si>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</si>
  <si>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</si>
  <si>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</si>
  <si>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</si>
  <si>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</si>
  <si>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</si>
  <si>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</si>
  <si>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</si>
  <si>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</si>
  <si>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</si>
  <si>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</si>
  <si>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</si>
  <si>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</si>
  <si>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</si>
  <si>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</si>
  <si>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</si>
  <si>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</si>
  <si>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</si>
  <si>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</si>
  <si>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</si>
  <si>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</si>
  <si>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</si>
  <si>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</si>
  <si>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</si>
  <si>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</si>
  <si>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</si>
  <si>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</si>
  <si>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</si>
  <si>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</si>
  <si>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</si>
  <si>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</si>
  <si>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</si>
  <si>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</si>
  <si>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</si>
  <si>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</si>
  <si>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</si>
  <si>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</si>
  <si>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</si>
  <si>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</si>
  <si>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</si>
  <si>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</si>
  <si>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</si>
  <si>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</si>
  <si>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</si>
  <si>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</si>
  <si>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</si>
  <si>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</si>
  <si>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</si>
  <si>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</si>
  <si>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</si>
  <si>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</si>
  <si>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</si>
  <si>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</si>
  <si>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</si>
  <si>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</si>
  <si>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</si>
  <si>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</si>
  <si>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</si>
  <si>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</si>
  <si>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</si>
  <si>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</si>
  <si>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</si>
  <si>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</si>
  <si>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</si>
  <si>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</si>
  <si>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</si>
  <si>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</si>
  <si>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</si>
  <si>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</si>
  <si>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</si>
  <si>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</si>
  <si>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</si>
  <si>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</si>
  <si>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</si>
  <si>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</si>
  <si>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</si>
  <si>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</si>
  <si>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</si>
  <si>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</si>
  <si>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</si>
  <si>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</si>
  <si>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</si>
  <si>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</si>
  <si>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</si>
  <si>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</si>
  <si>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</si>
  <si>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</si>
  <si>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</si>
  <si>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</si>
  <si>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</si>
  <si>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</si>
  <si>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</si>
  <si>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</si>
  <si>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</si>
  <si>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</si>
  <si>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</si>
  <si>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</si>
  <si>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</si>
  <si>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</si>
  <si>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</si>
  <si>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</si>
  <si>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</si>
  <si>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</si>
  <si>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</si>
  <si>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</si>
  <si>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</si>
  <si>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</si>
  <si>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</si>
  <si>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</si>
  <si>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</si>
  <si>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</si>
  <si>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</si>
  <si>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</si>
  <si>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</si>
  <si>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</si>
  <si>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</si>
  <si>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</si>
  <si>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</si>
  <si>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</si>
  <si>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</si>
  <si>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</si>
  <si>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</si>
  <si>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</si>
  <si>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</si>
  <si>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</si>
  <si>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</si>
  <si>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</si>
  <si>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</si>
  <si>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</si>
  <si>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</si>
  <si>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</si>
  <si>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</si>
  <si>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</si>
  <si>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</si>
  <si>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</si>
  <si>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</si>
  <si>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</si>
  <si>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</si>
  <si>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</si>
  <si>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</si>
  <si>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</si>
  <si>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</si>
  <si>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</si>
  <si>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</si>
  <si>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</si>
  <si>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</si>
  <si>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</si>
  <si>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</si>
  <si>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</si>
  <si>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</si>
  <si>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</si>
  <si>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</si>
  <si>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</si>
  <si>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</si>
  <si>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</si>
  <si>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</si>
  <si>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</si>
  <si>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</si>
  <si>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</si>
  <si>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</si>
  <si>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</si>
  <si>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</si>
  <si>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</si>
  <si>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</si>
  <si>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</si>
  <si>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</si>
  <si>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</si>
  <si>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</si>
  <si>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</si>
  <si>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</si>
  <si>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</si>
  <si>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</si>
  <si>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</si>
  <si>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</si>
  <si>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</si>
  <si>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</si>
  <si>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</si>
  <si>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</si>
  <si>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</si>
  <si>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</si>
  <si>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</si>
  <si>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</si>
  <si>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</si>
  <si>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</si>
  <si>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</si>
  <si>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</si>
  <si>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</si>
  <si>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</si>
  <si>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</si>
  <si>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</si>
  <si>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</si>
  <si>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</si>
  <si>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</si>
  <si>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</si>
  <si>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</si>
  <si>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</si>
  <si>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</si>
  <si>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</si>
  <si>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</si>
  <si>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</si>
  <si>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</si>
  <si>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</si>
  <si>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</si>
  <si>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</si>
  <si>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</si>
  <si>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</si>
  <si>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</si>
  <si>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</si>
  <si>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</si>
  <si>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</si>
  <si>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</si>
  <si>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</si>
  <si>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</si>
  <si>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</si>
  <si>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</si>
  <si>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</si>
  <si>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</si>
  <si>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</si>
  <si>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</si>
  <si>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</si>
  <si>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</si>
  <si>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</si>
  <si>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</si>
  <si>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</si>
  <si>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</si>
  <si>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</si>
  <si>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</si>
  <si>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</si>
  <si>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</si>
  <si>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</si>
  <si>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</si>
  <si>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</si>
  <si>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</si>
  <si>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</si>
  <si>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</si>
  <si>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</si>
  <si>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</si>
  <si>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</si>
  <si>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</si>
  <si>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</si>
  <si>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</si>
  <si>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</si>
  <si>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</si>
  <si>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</si>
  <si>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</si>
  <si>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</si>
  <si>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</si>
  <si>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</si>
  <si>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</si>
  <si>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</si>
  <si>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</si>
  <si>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</si>
  <si>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</si>
  <si>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</si>
  <si>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</si>
  <si>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</si>
  <si>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</si>
  <si>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</si>
  <si>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</si>
  <si>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</si>
  <si>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</si>
  <si>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</si>
  <si>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</si>
  <si>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</si>
  <si>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</si>
  <si>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</si>
  <si>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</si>
  <si>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</si>
  <si>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</si>
  <si>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</si>
  <si>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</si>
  <si>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</si>
  <si>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</si>
  <si>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</si>
  <si>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</si>
  <si>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</si>
  <si>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</si>
  <si>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</si>
  <si>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</si>
  <si>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</si>
  <si>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</si>
  <si>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</si>
  <si>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</si>
  <si>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</si>
  <si>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</si>
  <si>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</si>
  <si>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</si>
  <si>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</si>
  <si>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</si>
  <si>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</si>
  <si>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</si>
  <si>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</si>
  <si>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</si>
  <si>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</si>
  <si>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</si>
  <si>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</si>
  <si>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</si>
  <si>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</si>
  <si>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</si>
  <si>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</si>
  <si>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</si>
  <si>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</si>
  <si>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</si>
  <si>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</si>
  <si>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</si>
  <si>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</si>
  <si>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</si>
  <si>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</si>
  <si>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</si>
  <si>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</si>
  <si>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</si>
  <si>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</si>
  <si>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</si>
  <si>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</si>
  <si>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</si>
  <si>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</si>
  <si>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</si>
  <si>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</si>
  <si>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</si>
  <si>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</si>
  <si>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</si>
  <si>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</si>
  <si>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</si>
  <si>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</si>
  <si>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</si>
  <si>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</si>
  <si>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</si>
  <si>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</si>
  <si>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</si>
  <si>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</si>
  <si>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</si>
  <si>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</si>
  <si>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</si>
  <si>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</si>
  <si>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</si>
  <si>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</si>
  <si>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</si>
  <si>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</si>
  <si>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</si>
  <si>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</si>
  <si>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</si>
  <si>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</si>
  <si>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</si>
  <si>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</si>
  <si>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</si>
  <si>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</si>
  <si>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</si>
  <si>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</si>
  <si>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</si>
  <si>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</si>
  <si>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</si>
  <si>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</si>
  <si>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</si>
  <si>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</si>
  <si>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</si>
  <si>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</si>
  <si>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</si>
  <si>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</si>
  <si>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</si>
  <si>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</si>
  <si>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</si>
  <si>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</si>
  <si>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</si>
  <si>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</si>
  <si>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</si>
  <si>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</si>
  <si>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</si>
  <si>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</si>
  <si>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</si>
  <si>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</si>
  <si>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</si>
  <si>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</si>
  <si>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</si>
  <si>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</si>
  <si>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</si>
  <si>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</si>
  <si>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</si>
  <si>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</si>
  <si>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</si>
  <si>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</si>
  <si>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</si>
  <si>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</si>
  <si>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</si>
  <si>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</si>
  <si>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</si>
  <si>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</si>
  <si>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</si>
  <si>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</si>
  <si>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</si>
  <si>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</si>
  <si>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</si>
  <si>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</si>
  <si>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</si>
  <si>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</si>
  <si>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</si>
  <si>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</si>
  <si>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</si>
  <si>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</si>
  <si>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</si>
  <si>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</si>
  <si>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</si>
  <si>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</si>
  <si>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</si>
  <si>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</si>
  <si>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</si>
  <si>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</si>
  <si>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</si>
  <si>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</si>
  <si>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</si>
  <si>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</si>
  <si>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</si>
  <si>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</si>
  <si>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</si>
  <si>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</si>
  <si>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</si>
  <si>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</si>
  <si>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</si>
  <si>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</si>
  <si>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</si>
  <si>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</si>
  <si>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</si>
  <si>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</si>
  <si>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</si>
  <si>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</si>
  <si>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</si>
  <si>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</si>
  <si>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</si>
  <si>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</si>
  <si>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</si>
  <si>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</si>
  <si>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</si>
  <si>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</si>
  <si>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</si>
  <si>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</si>
  <si>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</si>
  <si>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</si>
  <si>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</si>
  <si>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</si>
  <si>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</si>
  <si>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</si>
  <si>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</si>
  <si>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</si>
  <si>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</si>
  <si>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</si>
  <si>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</si>
  <si>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</si>
  <si>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</si>
  <si>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</si>
  <si>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</si>
  <si>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</si>
  <si>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</si>
  <si>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</si>
  <si>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</si>
  <si>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</si>
  <si>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</si>
  <si>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</si>
  <si>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</si>
  <si>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</si>
  <si>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</si>
  <si>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</si>
  <si>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</si>
  <si>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</si>
  <si>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</si>
  <si>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</si>
  <si>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</si>
  <si>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</si>
  <si>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</si>
  <si>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</si>
  <si>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</si>
  <si>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</si>
  <si>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</si>
  <si>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</si>
  <si>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</si>
  <si>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</si>
  <si>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</si>
  <si>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</si>
  <si>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</si>
  <si>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</si>
  <si>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</si>
  <si>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</si>
  <si>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</si>
  <si>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</si>
  <si>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</si>
  <si>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</si>
  <si>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</si>
  <si>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</si>
  <si>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</si>
  <si>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</si>
  <si>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</si>
  <si>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</si>
  <si>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</si>
  <si>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</si>
  <si>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</si>
  <si>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</si>
  <si>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</si>
  <si>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</si>
  <si>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</si>
  <si>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</si>
  <si>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</si>
  <si>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</si>
  <si>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</si>
  <si>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</si>
  <si>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</si>
  <si>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</si>
  <si>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</si>
  <si>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</si>
  <si>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</si>
  <si>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</si>
  <si>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</si>
  <si>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</si>
  <si>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</si>
  <si>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</si>
  <si>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</si>
  <si>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</si>
  <si>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</si>
  <si>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</si>
  <si>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</si>
  <si>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</si>
  <si>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</si>
  <si>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</si>
  <si>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</si>
  <si>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</si>
  <si>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</si>
  <si>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</si>
  <si>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</si>
  <si>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</si>
  <si>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</si>
  <si>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</si>
  <si>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</si>
  <si>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</si>
  <si>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</si>
  <si>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</si>
  <si>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</si>
  <si>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</si>
  <si>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</si>
  <si>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</si>
  <si>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</si>
  <si>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</si>
  <si>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</si>
  <si>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</si>
  <si>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</si>
  <si>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</si>
  <si>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</si>
  <si>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</si>
  <si>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</si>
  <si>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</si>
  <si>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</si>
  <si>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</si>
  <si>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</si>
  <si>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</si>
  <si>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</si>
  <si>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</si>
  <si>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</si>
  <si>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</si>
  <si>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</si>
  <si>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</si>
  <si>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</si>
  <si>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</si>
  <si>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</si>
  <si>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</si>
  <si>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</si>
  <si>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</si>
  <si>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</si>
  <si>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</si>
  <si>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</si>
  <si>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</si>
  <si>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</si>
  <si>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</si>
  <si>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</si>
  <si>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</si>
  <si>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</si>
  <si>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</si>
  <si>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</si>
  <si>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</si>
  <si>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</si>
  <si>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</si>
  <si>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</si>
  <si>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</si>
  <si>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</si>
  <si>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</si>
  <si>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</si>
  <si>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</si>
  <si>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</si>
  <si>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</si>
  <si>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</si>
  <si>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</si>
  <si>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</si>
  <si>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</si>
  <si>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</si>
  <si>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</si>
  <si>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</si>
  <si>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</si>
  <si>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</si>
  <si>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</si>
  <si>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</si>
  <si>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</si>
  <si>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</si>
  <si>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</si>
  <si>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</si>
  <si>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</si>
  <si>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</si>
  <si>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</si>
  <si>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</si>
  <si>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</si>
  <si>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</si>
  <si>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</si>
  <si>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</si>
  <si>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</si>
  <si>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</si>
  <si>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</si>
  <si>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</si>
  <si>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</si>
  <si>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</si>
  <si>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</si>
  <si>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</si>
  <si>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</si>
  <si>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</si>
  <si>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</si>
  <si>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</si>
  <si>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</si>
  <si>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</si>
  <si>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</si>
  <si>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</si>
  <si>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</si>
  <si>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</si>
  <si>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</si>
  <si>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</si>
  <si>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</si>
  <si>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</si>
  <si>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</si>
  <si>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</si>
  <si>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</si>
  <si>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</si>
  <si>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</si>
  <si>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</si>
  <si>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</si>
  <si>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</si>
  <si>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</si>
  <si>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</si>
  <si>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</si>
  <si>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</si>
  <si>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</si>
  <si>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</si>
  <si>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</si>
  <si>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</si>
  <si>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</si>
  <si>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</si>
  <si>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</si>
  <si>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</si>
  <si>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</si>
  <si>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</si>
  <si>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</si>
  <si>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</si>
  <si>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</si>
  <si>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</si>
  <si>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</si>
  <si>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</si>
  <si>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</si>
  <si>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</si>
  <si>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</si>
  <si>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</si>
  <si>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</si>
  <si>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</si>
  <si>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</si>
  <si>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</si>
  <si>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</si>
  <si>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</si>
  <si>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</si>
  <si>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</si>
  <si>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</si>
  <si>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</si>
  <si>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</si>
  <si>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</si>
  <si>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</si>
  <si>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</si>
  <si>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</si>
  <si>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</si>
  <si>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</si>
  <si>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</si>
  <si>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</si>
  <si>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</si>
  <si>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</si>
  <si>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</si>
  <si>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</si>
  <si>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</si>
  <si>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</si>
  <si>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</si>
  <si>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</si>
  <si>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</si>
  <si>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</si>
  <si>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</si>
  <si>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</si>
  <si>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</si>
  <si>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</si>
  <si>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</si>
  <si>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</si>
  <si>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</si>
  <si>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</si>
  <si>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</si>
  <si>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</si>
  <si>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</si>
  <si>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</si>
  <si>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</si>
  <si>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</si>
  <si>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</si>
  <si>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</si>
  <si>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</si>
  <si>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</si>
  <si>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</si>
  <si>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</si>
  <si>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</si>
  <si>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</si>
  <si>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</si>
  <si>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</si>
  <si>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</si>
  <si>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</si>
  <si>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</si>
  <si>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</si>
  <si>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</si>
  <si>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</si>
  <si>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</si>
  <si>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</si>
  <si>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</si>
  <si>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</si>
  <si>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</si>
  <si>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</si>
  <si>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</si>
  <si>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</si>
  <si>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</si>
  <si>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</si>
  <si>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</si>
  <si>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</si>
  <si>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</si>
  <si>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</si>
  <si>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</si>
  <si>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</si>
  <si>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</si>
  <si>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</si>
  <si>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</si>
  <si>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</si>
  <si>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</si>
  <si>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</si>
  <si>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</si>
  <si>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</si>
  <si>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</si>
  <si>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</si>
  <si>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</si>
  <si>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</si>
  <si>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</si>
  <si>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</si>
  <si>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</si>
  <si>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</si>
  <si>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</si>
  <si>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</si>
  <si>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</si>
  <si>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</si>
  <si>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</si>
  <si>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</si>
  <si>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</si>
  <si>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</si>
  <si>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</si>
  <si>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</si>
  <si>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</si>
  <si>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</si>
  <si>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</si>
  <si>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</si>
  <si>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</si>
  <si>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</si>
  <si>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</si>
  <si>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</si>
  <si>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</si>
  <si>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</si>
  <si>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</si>
  <si>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</si>
  <si>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</si>
  <si>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</si>
  <si>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</si>
  <si>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</si>
  <si>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</si>
  <si>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</si>
  <si>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</si>
  <si>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</si>
  <si>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</si>
  <si>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</si>
  <si>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</si>
  <si>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</si>
  <si>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</si>
  <si>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</si>
  <si>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</si>
  <si>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</si>
  <si>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</si>
  <si>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</si>
  <si>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</si>
  <si>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</si>
  <si>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</si>
  <si>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</si>
  <si>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</si>
  <si>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</si>
  <si>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</si>
  <si>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</si>
  <si>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</si>
  <si>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</si>
  <si>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</si>
  <si>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</si>
  <si>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</si>
  <si>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</si>
  <si>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</si>
  <si>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</si>
  <si>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</si>
  <si>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</si>
  <si>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</si>
  <si>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</si>
  <si>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</si>
  <si>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</si>
  <si>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</si>
  <si>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</si>
  <si>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</si>
  <si>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</si>
  <si>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</si>
  <si>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</si>
  <si>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</si>
  <si>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</si>
  <si>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</si>
  <si>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</si>
  <si>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</si>
  <si>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</si>
  <si>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</si>
  <si>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</si>
  <si>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</si>
  <si>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</si>
  <si>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</si>
  <si>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</si>
  <si>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</si>
  <si>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</si>
  <si>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</si>
  <si>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</si>
  <si>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</si>
  <si>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</si>
  <si>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</si>
  <si>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</si>
  <si>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</si>
  <si>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</si>
  <si>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</si>
  <si>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</si>
  <si>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</si>
  <si>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</si>
  <si>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</si>
  <si>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</si>
  <si>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</si>
  <si>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</si>
  <si>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</si>
  <si>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</si>
  <si>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</si>
  <si>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</si>
  <si>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</si>
  <si>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</si>
  <si>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</si>
  <si>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</si>
  <si>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</si>
  <si>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</si>
  <si>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</si>
  <si>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</si>
  <si>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</si>
  <si>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</si>
  <si>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</si>
  <si>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</si>
  <si>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</si>
  <si>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</si>
  <si>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</si>
  <si>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</si>
  <si>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</si>
  <si>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</si>
  <si>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</si>
  <si>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</si>
  <si>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</si>
  <si>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</si>
  <si>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</si>
  <si>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</si>
  <si>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</si>
  <si>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</si>
  <si>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</si>
  <si>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</si>
  <si>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</si>
  <si>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</si>
  <si>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</si>
  <si>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</si>
  <si>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</si>
  <si>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</si>
  <si>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</si>
  <si>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</si>
  <si>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</si>
  <si>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</si>
  <si>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</si>
  <si>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</si>
  <si>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</si>
  <si>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</si>
  <si>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</si>
  <si>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</si>
  <si>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</si>
  <si>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</si>
  <si>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</si>
  <si>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</si>
  <si>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</si>
  <si>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</si>
  <si>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</si>
  <si>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</si>
  <si>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</si>
  <si>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</si>
  <si>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</si>
  <si>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</si>
  <si>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</si>
  <si>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</si>
  <si>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</si>
  <si>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</si>
  <si>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</si>
  <si>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</si>
  <si>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</si>
  <si>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</si>
  <si>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</si>
  <si>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</si>
  <si>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</si>
  <si>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</si>
  <si>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</si>
  <si>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</si>
  <si>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</si>
  <si>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</si>
  <si>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</si>
  <si>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</si>
  <si>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</si>
  <si>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</si>
  <si>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</si>
  <si>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</si>
  <si>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</si>
  <si>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</si>
  <si>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</si>
  <si>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</si>
  <si>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</si>
  <si>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</si>
  <si>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</si>
  <si>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</si>
  <si>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</si>
  <si>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</si>
  <si>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</si>
  <si>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</si>
  <si>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</si>
  <si>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</si>
  <si>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</si>
  <si>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</si>
  <si>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</si>
  <si>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</si>
  <si>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</si>
  <si>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</si>
  <si>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</si>
  <si>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</si>
  <si>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</si>
  <si>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</si>
  <si>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</si>
  <si>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</si>
  <si>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</si>
  <si>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</si>
  <si>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</si>
  <si>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</si>
  <si>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</si>
  <si>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</si>
  <si>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</si>
  <si>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</si>
  <si>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</si>
  <si>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</si>
  <si>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</si>
  <si>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</si>
  <si>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</si>
  <si>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</si>
  <si>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</si>
  <si>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</si>
  <si>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</si>
  <si>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</si>
  <si>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</si>
  <si>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</si>
  <si>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</si>
  <si>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</si>
  <si>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</si>
  <si>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</si>
  <si>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</si>
  <si>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</si>
  <si>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</si>
  <si>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</si>
  <si>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</si>
  <si>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</si>
  <si>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</si>
  <si>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</si>
  <si>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</si>
  <si>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</si>
  <si>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</si>
  <si>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</si>
  <si>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</si>
  <si>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</si>
  <si>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</si>
  <si>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</si>
  <si>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</si>
  <si>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</si>
  <si>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</si>
  <si>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</si>
  <si>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</si>
  <si>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</si>
  <si>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</si>
  <si>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</si>
  <si>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</si>
  <si>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</si>
  <si>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</si>
  <si>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</si>
  <si>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</si>
  <si>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</si>
  <si>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</si>
  <si>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</si>
  <si>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</si>
  <si>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</si>
  <si>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</si>
  <si>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</si>
  <si>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</si>
  <si>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</si>
  <si>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</si>
  <si>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</si>
  <si>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</si>
  <si>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</si>
  <si>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</si>
  <si>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</si>
  <si>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</si>
  <si>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</si>
  <si>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</si>
  <si>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</si>
  <si>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</si>
  <si>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</si>
  <si>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</si>
  <si>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</si>
  <si>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</si>
  <si>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</si>
  <si>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</si>
  <si>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</si>
  <si>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</si>
  <si>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</si>
  <si>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</si>
  <si>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</si>
  <si>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</si>
  <si>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</si>
  <si>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</si>
  <si>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</si>
  <si>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</si>
  <si>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</si>
  <si>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</si>
  <si>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</si>
  <si>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</si>
  <si>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</si>
  <si>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</si>
  <si>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</si>
  <si>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</si>
  <si>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</si>
  <si>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</si>
  <si>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</si>
  <si>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</si>
  <si>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</si>
  <si>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</si>
  <si>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</si>
  <si>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</si>
  <si>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</si>
  <si>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</si>
  <si>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</si>
  <si>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</si>
  <si>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</si>
  <si>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</si>
  <si>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</si>
  <si>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</si>
  <si>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</si>
  <si>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</si>
  <si>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</si>
  <si>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</si>
  <si>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</si>
  <si>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</si>
  <si>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</si>
  <si>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</si>
  <si>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</si>
  <si>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</si>
  <si>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</si>
  <si>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</si>
  <si>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</si>
  <si>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</si>
  <si>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</si>
  <si>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</si>
  <si>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</si>
  <si>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</si>
  <si>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</si>
  <si>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</si>
  <si>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</si>
  <si>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</si>
  <si>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</si>
  <si>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</si>
  <si>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</si>
  <si>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</si>
  <si>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</si>
  <si>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</si>
  <si>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</si>
  <si>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</si>
  <si>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</si>
  <si>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</si>
  <si>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</si>
  <si>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</si>
  <si>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</si>
  <si>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</si>
  <si>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</si>
  <si>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</si>
  <si>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</si>
  <si>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</si>
  <si>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</si>
  <si>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</si>
  <si>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</si>
  <si>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</si>
  <si>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</si>
  <si>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</si>
  <si>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</si>
  <si>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</si>
  <si>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</si>
  <si>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</si>
  <si>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</si>
  <si>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</si>
  <si>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</si>
  <si>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</si>
  <si>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</si>
  <si>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</si>
  <si>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</si>
  <si>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</si>
  <si>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</si>
  <si>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</si>
  <si>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</si>
  <si>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</si>
  <si>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</si>
  <si>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</si>
  <si>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</si>
  <si>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</si>
  <si>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</si>
  <si>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</si>
  <si>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</si>
  <si>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</si>
  <si>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</si>
  <si>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</si>
  <si>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</si>
  <si>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</si>
  <si>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</si>
  <si>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</si>
  <si>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</si>
  <si>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</si>
  <si>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</si>
  <si>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</si>
  <si>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</si>
  <si>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</si>
  <si>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</si>
  <si>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</si>
  <si>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</si>
  <si>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</si>
  <si>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</si>
  <si>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</si>
  <si>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</si>
  <si>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</si>
  <si>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</si>
  <si>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</si>
  <si>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</si>
  <si>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</si>
  <si>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</si>
  <si>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</si>
  <si>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</si>
  <si>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</si>
  <si>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</si>
  <si>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</si>
  <si>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</si>
  <si>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无</t>
  </si>
  <si>
    <t>否</t>
  </si>
  <si>
    <t>现房</t>
  </si>
  <si>
    <t>是</t>
  </si>
  <si>
    <t>地上</t>
  </si>
  <si>
    <t>成新度</t>
  </si>
  <si>
    <t>收益法 (元)</t>
  </si>
  <si>
    <t>单套模式</t>
  </si>
  <si>
    <t>售价</t>
  </si>
  <si>
    <t>正常</t>
  </si>
  <si>
    <t>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</si>
  <si>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</si>
  <si>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</si>
  <si>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</si>
  <si>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</si>
  <si>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</si>
  <si>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</si>
  <si>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</si>
  <si>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</si>
  <si>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</si>
  <si>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</si>
  <si>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phoneticPr fontId="31" type="noConversion"/>
  </si>
  <si>
    <t>写字楼</t>
  </si>
  <si>
    <t>写字楼</t>
    <phoneticPr fontId="31" type="noConversion"/>
  </si>
  <si>
    <t>钢混</t>
  </si>
  <si>
    <t>钢混</t>
    <phoneticPr fontId="31" type="noConversion"/>
  </si>
  <si>
    <t>精装</t>
    <phoneticPr fontId="31" type="noConversion"/>
  </si>
  <si>
    <t>甲</t>
    <phoneticPr fontId="31" type="noConversion"/>
  </si>
  <si>
    <t>专业</t>
    <phoneticPr fontId="31" type="noConversion"/>
  </si>
  <si>
    <t>精装</t>
    <phoneticPr fontId="31" type="noConversion"/>
  </si>
  <si>
    <t>简装</t>
    <phoneticPr fontId="31" type="noConversion"/>
  </si>
  <si>
    <t>毛坯</t>
    <phoneticPr fontId="31" type="noConversion"/>
  </si>
  <si>
    <t>较好</t>
  </si>
  <si>
    <t>七通</t>
  </si>
  <si>
    <t>押一</t>
  </si>
  <si>
    <t>非生产用房</t>
  </si>
  <si>
    <t>房号</t>
  </si>
  <si>
    <t>实测建面</t>
  </si>
  <si>
    <t>一层</t>
  </si>
  <si>
    <t>二层</t>
  </si>
  <si>
    <t>三层</t>
  </si>
  <si>
    <t>四层</t>
  </si>
  <si>
    <t>2280(通道）</t>
  </si>
  <si>
    <t>1-4层合计面积</t>
  </si>
  <si>
    <t>自定义容积率</t>
  </si>
  <si>
    <t>商业</t>
    <phoneticPr fontId="7" type="noConversion"/>
  </si>
  <si>
    <t>不临65条商业街</t>
  </si>
  <si>
    <t>与级别开发程度一致</t>
  </si>
  <si>
    <t>较差</t>
  </si>
  <si>
    <t>好</t>
  </si>
  <si>
    <t>企业</t>
  </si>
  <si>
    <t>商业项目</t>
  </si>
  <si>
    <t>未包含在土地购买价格中</t>
  </si>
  <si>
    <t>已包含在土地取得成本中</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</si>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</sst>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26</xdr:row>
      <xdr:rowOff>170872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524" cy="4628572"/>
        </a:xfrm>
        <a:prstGeom prst="rect">
          <a:avLst/>
        </a:prstGeom>
      </xdr:spPr>
    </xdr:pic>
    <xdr:clientData/>
  </xdr:twoCellAnchor>
  <xdr:twoCellAnchor editAs="oneCell">
    <xdr:from>
      <xdr:col>0</xdr:col>
      <xdr:colOff>0</xdr:colOff>
      <xdr:row>27</xdr:row>
      <xdr:rowOff>0</xdr:rowOff>
    </xdr:from>
    <xdr:to>
      <xdr:col>5</xdr:col>
      <xdr:colOff>209095</xdr:colOff>
      <xdr:row>52</xdr:row>
      <xdr:rowOff>151846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3638095" cy="4438096"/>
        </a:xfrm>
        <a:prstGeom prst="rect">
          <a:avLst/>
        </a:prstGeom>
      </xdr:spPr>
    </xdr:pic>
    <xdr:clientData/>
  </xdr:twoCellAnchor>
  <xdr:twoCellAnchor editAs="oneCell">
    <xdr:from>
      <xdr:col>6</xdr:col>
      <xdr:colOff>0</xdr:colOff>
      <xdr:row>1</xdr:row>
      <xdr:rowOff>0</xdr:rowOff>
    </xdr:from>
    <xdr:to>
      <xdr:col>11</xdr:col>
      <xdr:colOff>313857</xdr:colOff>
      <xdr:row>28</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71450"/>
          <a:ext cx="3742857" cy="4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估价对象为北京市房地产，为所有。根据《国有土地使用证》[]，估价对象（分摊）出让国有建设用地使用权面积为0平方米，建筑面积为1249.7平方米。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估价对象为北京市房地产,属开发建设的商业项目，该项目尚在开发建设中。根据《国有土地使用证》[]，估价对象（分摊）出让国有建设用地使用权面积为0平方米，规划建筑面积为1249.7平方米。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1249.6999999999998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45190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33.26</v>
      </c>
      <c r="D7" s="3025">
        <f>IF(ISERROR(ROUND(POWER(1+E7,A7-C7)*(POWER(1+E7,C7)-1)/(POWER(1+E7,A7)-1),3)),0,ROUND(POWER(1+E7,A7-C7)*(POWER(1+E7,C7)-1)/(POWER(1+E7,A7)-1),4))</f>
        <v>0.77869999999999995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ROUND(POWER(1+D23,B23-C23)*(POWER(1+D23,C23)-1)/(POWER(1+D23,B23)-1),3)</f>
        <v>0.84599999999999997</v>
      </c>
      <c r="F23" s="3039">
        <f>F22</f>
        <v>0.7</v>
      </c>
      <c r="G23" s="3037">
        <f>ROUND(100*(1-(1-E23)*F23),1)</f>
        <v>89.2</v>
      </c>
      <c r="I23" s="3058">
        <v>15</v>
      </c>
      <c r="J23" s="3058">
        <v>74.099999999999994</v>
      </c>
      <c r="K23" s="3058">
        <f t="shared" ref="K23:K30" si="0">J23-J22</f>
        <v>8.6999999999999886</v>
      </c>
      <c r="L23" s="3058" t="s">
        <v>2571</v>
      </c>
      <c r="M23" s="3058" t="s">
        <v>2572</v>
      </c>
    </row>
    <row r="24" spans="1:13">
      <c r="A24" s="3035" t="s">
        <v>2532</v>
      </c>
      <c r="B24" s="3038">
        <v>70</v>
      </c>
      <c r="C24" s="3038">
        <v>50</v>
      </c>
      <c r="D24" s="3039">
        <v>0.04</v>
      </c>
      <c r="E24" s="3036">
        <f>ROUND(POWER(1+D24,B24-C24)*(POWER(1+D24,C24)-1)/(POWER(1+D24,B24)-1),3)</f>
        <v>0.91800000000000004</v>
      </c>
      <c r="F24" s="3039">
        <f>F23</f>
        <v>0.7</v>
      </c>
      <c r="G24" s="3037">
        <f>ROUND(100*(1-(1-E24)*F24),1)</f>
        <v>94.3</v>
      </c>
      <c r="I24" s="3058">
        <v>20</v>
      </c>
      <c r="J24" s="3058">
        <v>81</v>
      </c>
      <c r="K24" s="3058">
        <f t="shared" si="0"/>
        <v>6.9000000000000057</v>
      </c>
      <c r="L24" s="3058" t="s">
        <v>2570</v>
      </c>
      <c r="M24" s="3058">
        <v>10</v>
      </c>
    </row>
    <row r="25" spans="1:13">
      <c r="A25" s="3035" t="s">
        <v>2533</v>
      </c>
      <c r="B25" s="3038">
        <v>70</v>
      </c>
      <c r="C25" s="3038">
        <v>60</v>
      </c>
      <c r="D25" s="3039">
        <v>0.04</v>
      </c>
      <c r="E25" s="3036">
        <f>ROUND(POWER(1+D25,B25-C25)*(POWER(1+D25,C25)-1)/(POWER(1+D25,B25)-1),3)</f>
        <v>0.96699999999999997</v>
      </c>
      <c r="F25" s="3039">
        <f>F24</f>
        <v>0.7</v>
      </c>
      <c r="G25" s="3037">
        <f>ROUND(100*(1-(1-E25)*F25),1)</f>
        <v>97.7</v>
      </c>
      <c r="I25" s="3058">
        <v>25</v>
      </c>
      <c r="J25" s="3058">
        <v>86.3</v>
      </c>
      <c r="K25" s="3058">
        <f t="shared" si="0"/>
        <v>5.2999999999999972</v>
      </c>
      <c r="L25" s="3058" t="s">
        <v>2574</v>
      </c>
      <c r="M25" s="3058">
        <v>8</v>
      </c>
    </row>
    <row r="26" spans="1:13">
      <c r="A26" s="3040"/>
      <c r="B26" s="3041"/>
      <c r="C26" s="3041"/>
      <c r="D26" s="3041"/>
      <c r="E26" s="3041"/>
      <c r="F26" s="3041"/>
      <c r="G26" s="3042"/>
      <c r="I26" s="3058">
        <v>30</v>
      </c>
      <c r="J26" s="3058">
        <v>90.5</v>
      </c>
      <c r="K26" s="3058">
        <f t="shared" si="0"/>
        <v>4.2000000000000028</v>
      </c>
      <c r="L26" s="3058" t="s">
        <v>2575</v>
      </c>
      <c r="M26" s="3058">
        <v>5</v>
      </c>
    </row>
    <row r="27" spans="1:13">
      <c r="A27" s="3040" t="s">
        <v>2534</v>
      </c>
      <c r="B27" s="3041"/>
      <c r="C27" s="3041"/>
      <c r="D27" s="3041"/>
      <c r="E27" s="3041"/>
      <c r="F27" s="3041"/>
      <c r="G27" s="3042"/>
      <c r="I27" s="3058">
        <v>35</v>
      </c>
      <c r="J27" s="3058">
        <v>93.8</v>
      </c>
      <c r="K27" s="3058">
        <f t="shared" si="0"/>
        <v>3.2999999999999972</v>
      </c>
      <c r="L27" s="3058" t="s">
        <v>2576</v>
      </c>
      <c r="M27" s="3058">
        <v>3</v>
      </c>
    </row>
    <row r="28" spans="1:13">
      <c r="A28" s="3040" t="s">
        <v>2535</v>
      </c>
      <c r="B28" s="3041"/>
      <c r="C28" s="3041"/>
      <c r="D28" s="3041"/>
      <c r="E28" s="3041"/>
      <c r="F28" s="3041"/>
      <c r="G28" s="3042"/>
      <c r="I28" s="3058">
        <v>40</v>
      </c>
      <c r="J28" s="3058">
        <v>96.4</v>
      </c>
      <c r="K28" s="3058">
        <f t="shared" si="0"/>
        <v>2.6000000000000085</v>
      </c>
      <c r="L28" s="3058" t="s">
        <v>2577</v>
      </c>
      <c r="M28" s="3058">
        <v>2</v>
      </c>
    </row>
    <row r="29" spans="1:13">
      <c r="A29" s="3040" t="s">
        <v>2536</v>
      </c>
      <c r="B29" s="3041"/>
      <c r="C29" s="3041"/>
      <c r="D29" s="3041"/>
      <c r="E29" s="3041"/>
      <c r="F29" s="3041"/>
      <c r="G29" s="3042"/>
      <c r="I29" s="3058">
        <v>45</v>
      </c>
      <c r="J29" s="3058">
        <v>98.4</v>
      </c>
      <c r="K29" s="3058">
        <f t="shared" si="0"/>
        <v>2</v>
      </c>
    </row>
    <row r="30" spans="1:13">
      <c r="A30" s="3040" t="s">
        <v>2537</v>
      </c>
      <c r="B30" s="3041"/>
      <c r="C30" s="3041"/>
      <c r="D30" s="3041"/>
      <c r="E30" s="3041"/>
      <c r="F30" s="3041"/>
      <c r="G30" s="3042"/>
      <c r="I30" s="3058">
        <v>50</v>
      </c>
      <c r="J30" s="3058">
        <v>100</v>
      </c>
      <c r="K30" s="3058">
        <f t="shared" si="0"/>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1">J36-J35</f>
        <v>9.2999999999999972</v>
      </c>
      <c r="L36" s="3058" t="s">
        <v>2571</v>
      </c>
      <c r="M36" s="3058" t="s">
        <v>2572</v>
      </c>
    </row>
    <row r="37" spans="1:13">
      <c r="A37" s="3040" t="s">
        <v>2544</v>
      </c>
      <c r="B37" s="3041"/>
      <c r="C37" s="3041"/>
      <c r="D37" s="3041"/>
      <c r="E37" s="3041"/>
      <c r="F37" s="3041"/>
      <c r="G37" s="3042"/>
      <c r="I37" s="3058">
        <v>20</v>
      </c>
      <c r="J37" s="3058">
        <v>83.6</v>
      </c>
      <c r="K37" s="3058">
        <f t="shared" si="1"/>
        <v>7.2999999999999972</v>
      </c>
      <c r="L37" s="3058" t="s">
        <v>2570</v>
      </c>
      <c r="M37" s="3058">
        <v>10</v>
      </c>
    </row>
    <row r="38" spans="1:13">
      <c r="A38" s="3040" t="s">
        <v>2545</v>
      </c>
      <c r="B38" s="3041"/>
      <c r="C38" s="3041"/>
      <c r="D38" s="3041"/>
      <c r="E38" s="3041"/>
      <c r="F38" s="3041"/>
      <c r="G38" s="3042"/>
      <c r="I38" s="3058">
        <v>25</v>
      </c>
      <c r="J38" s="3058">
        <v>89.3</v>
      </c>
      <c r="K38" s="3058">
        <f t="shared" si="1"/>
        <v>5.7000000000000028</v>
      </c>
      <c r="L38" s="3058" t="s">
        <v>2574</v>
      </c>
      <c r="M38" s="3058">
        <v>8</v>
      </c>
    </row>
    <row r="39" spans="1:13">
      <c r="A39" s="3040"/>
      <c r="B39" s="3041"/>
      <c r="C39" s="3041"/>
      <c r="D39" s="3041"/>
      <c r="E39" s="3041"/>
      <c r="F39" s="3041"/>
      <c r="G39" s="3042"/>
      <c r="I39" s="3058">
        <v>30</v>
      </c>
      <c r="J39" s="3058">
        <v>93.8</v>
      </c>
      <c r="K39" s="3058">
        <f t="shared" si="1"/>
        <v>4.5</v>
      </c>
      <c r="L39" s="3058" t="s">
        <v>2575</v>
      </c>
      <c r="M39" s="3058">
        <v>6</v>
      </c>
    </row>
    <row r="40" spans="1:13">
      <c r="A40" s="3043" t="s">
        <v>2546</v>
      </c>
      <c r="B40" s="3044"/>
      <c r="C40" s="3044"/>
      <c r="D40" s="3044"/>
      <c r="E40" s="3044"/>
      <c r="F40" s="3044"/>
      <c r="G40" s="3045"/>
      <c r="I40" s="3058">
        <v>35</v>
      </c>
      <c r="J40" s="3058">
        <v>97.2</v>
      </c>
      <c r="K40" s="3058">
        <f t="shared" si="1"/>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1"/>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J46-J45</f>
        <v>5.0999999999999943</v>
      </c>
    </row>
    <row r="47" spans="1:13">
      <c r="I47" s="3058">
        <v>60</v>
      </c>
      <c r="J47" s="3058">
        <v>97.7</v>
      </c>
      <c r="K47" s="305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C27" sqref="C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9"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0"/>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52858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1249.6999999999998</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t="s">
        <v>3434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t="s">
        <v>3383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t="s">
        <v>3384</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t="s">
        <v>3385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1249.6999999999998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1249.6999999999998</v>
      </c>
      <c r="H5" s="13">
        <f t="shared" ref="H5:AT5" si="0">SUM(H13:H656)</f>
        <v>1249.6999999999998</v>
      </c>
      <c r="I5" s="13">
        <f t="shared" si="0"/>
        <v>1249.6999999999998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1249.6999999999998</v>
      </c>
      <c r="BA5" s="15">
        <f t="shared" si="1"/>
        <v>1249.6999999999998</v>
      </c>
      <c r="BB5" s="15">
        <f t="shared" si="1"/>
        <v>1249.6999999999998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3437</v>
      </c>
      <c r="D13" s="1625" t="s">
        <v>3386</v>
      </c>
      <c r="E13" s="13">
        <f>IF($C$3="是",ROUND($A$3*G13/$B$3,2),ROUND($A$3*(G13-AT13)/$B$3,2))</f>
        <v>0</v>
      </c>
      <c r="F13" s="29"/>
      <c r="G13" s="30">
        <f>H13+AC13+AT13</f>
        <v>107.96000000000001</v>
      </c>
      <c r="H13" s="17">
        <f>SUMIF(I$12:AB$12,"总值",I13:AB13)</f>
        <v>107.96000000000001</v>
      </c>
      <c r="I13" s="1626">
        <f>面积汇总表!C14</f>
        <v>107.96000000000001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107.96000000000001</v>
      </c>
      <c r="BA13" s="13">
        <f>SUM(BB13:BK13)</f>
        <v>107.96000000000001</v>
      </c>
      <c r="BB13" s="13">
        <f>IF($D13="是",I13-J13,0)</f>
        <v>107.96000000000001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3438</v>
      </c>
      <c r="D14" s="1625" t="s">
        <v>3386</v>
      </c>
      <c r="E14" s="13">
        <f>IF($C$3="是",ROUND($A$3*G14/$B$3,2),ROUND($A$3*(G14-AT14)/$B$3,2))</f>
        <v>0</v>
      </c>
      <c r="F14" s="29"/>
      <c r="G14" s="30">
        <f>H14+AC14+AT14</f>
        <v>402.31</v>
      </c>
      <c r="H14" s="17">
        <f>SUMIF(I$12:AB$12,"总值",I14:AB14)</f>
        <v>402.31</v>
      </c>
      <c r="I14" s="1626">
        <f>面积汇总表!F27</f>
        <v>402.31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402.31</v>
      </c>
      <c r="BA14" s="13">
        <f>SUM(BB14:BK14)</f>
        <v>402.31</v>
      </c>
      <c r="BB14" s="13">
        <f>IF($D14="是",I14-J14,0)</f>
        <v>402.31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3439</v>
      </c>
      <c r="D15" s="1625" t="s">
        <v>3386</v>
      </c>
      <c r="E15" s="13">
        <f>IF($C$3="是",ROUND($A$3*G15/$B$3,2),ROUND($A$3*(G15-AT15)/$B$3,2))</f>
        <v>0</v>
      </c>
      <c r="F15" s="29"/>
      <c r="G15" s="30">
        <f>H15+AC15+AT15</f>
        <v>437.4799999999999</v>
      </c>
      <c r="H15" s="17">
        <f>SUMIF(I$12:AB$12,"总值",I15:AB15)</f>
        <v>437.4799999999999</v>
      </c>
      <c r="I15" s="1626">
        <f>面积汇总表!I22</f>
        <v>437.4799999999999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437.4799999999999</v>
      </c>
      <c r="BA15" s="13">
        <f>SUM(BB15:BK15)</f>
        <v>437.4799999999999</v>
      </c>
      <c r="BB15" s="13">
        <f>IF($D15="是",I15-J15,0)</f>
        <v>437.4799999999999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3440</v>
      </c>
      <c r="D16" s="1625" t="s">
        <v>3386</v>
      </c>
      <c r="E16" s="13">
        <f>IF($C$3="是",ROUND($A$3*G16/$B$3,2),ROUND($A$3*(G16-AT16)/$B$3,2))</f>
        <v>0</v>
      </c>
      <c r="F16" s="29"/>
      <c r="G16" s="30">
        <f>H16+AC16+AT16</f>
        <v>301.95000000000005</v>
      </c>
      <c r="H16" s="17">
        <f>SUMIF(I$12:AB$12,"总值",I16:AB16)</f>
        <v>301.95000000000005</v>
      </c>
      <c r="I16" s="1626">
        <f>面积汇总表!L11</f>
        <v>301.95000000000005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301.95000000000005</v>
      </c>
      <c r="BA16" s="13">
        <f>SUM(BB16:BK16)</f>
        <v>301.95000000000005</v>
      </c>
      <c r="BB16" s="13">
        <f>IF($D16="是",I16-J16,0)</f>
        <v>301.95000000000005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162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162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162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162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162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162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162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162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162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162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162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162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162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162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162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162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162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162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162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162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162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162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162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162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162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162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162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162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162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162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162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162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162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162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162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1249.6999999999998</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1249.6999999999998</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1249.6999999999998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1249.6999999999998</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3428</v>
      </c>
      <c r="D19" s="45">
        <f>ROUND($D$3*E19/$E$3,2)</f>
        <v>0</v>
      </c>
      <c r="E19" s="53">
        <f t="shared" ref="E19:E26" si="1">SUM(F19:G19)</f>
        <v>1249.6999999999998</v>
      </c>
      <c r="F19" s="2795">
        <f>E3</f>
        <v>1249.6999999999998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1249.6999999999998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1249.6999999999998</v>
      </c>
      <c r="F27" s="1140">
        <f>IF(SUM(F19:F26)=E8,SUM(F19:F26),"地上面积有误")</f>
        <v>1249.6999999999998</v>
      </c>
      <c r="G27" s="1142">
        <f>SUM(G19:G26)</f>
        <v>0</v>
      </c>
      <c r="H27" s="1143">
        <f>SUM(H19:H26)</f>
        <v>0</v>
      </c>
      <c r="I27" s="1144">
        <f>SUM(I19:I26)</f>
        <v>0</v>
      </c>
      <c r="J27" s="1139"/>
      <c r="K27" s="1147">
        <f t="shared" ref="K27:P27" si="10">SUM(K19:K26)</f>
        <v>0</v>
      </c>
      <c r="L27" s="1148">
        <f t="shared" si="10"/>
        <v>0</v>
      </c>
      <c r="M27" s="1151">
        <f t="shared" si="10"/>
        <v>0</v>
      </c>
      <c r="N27" s="1147">
        <f t="shared" si="10"/>
        <v>0</v>
      </c>
      <c r="O27" s="1148">
        <f t="shared" si="10"/>
        <v>0</v>
      </c>
      <c r="P27" s="1149">
        <f t="shared" si="10"/>
        <v>0</v>
      </c>
      <c r="R27" s="1028">
        <f>IF(SUM(R19:R26)=$D$3,SUM(R19:R26),SUM(R19:R26)&amp;"误差"&amp;ROUND(SUM(R19:R26)-$D$3,2))</f>
        <v>0</v>
      </c>
      <c r="S27" s="1026">
        <f>IF(SUM(S19:S26)=$E$3,SUM(S19:S26),SUM(S19:S26)&amp;"误差"&amp;ROUND(SUM(S19:S26)-E3,2))</f>
        <v>1249.6999999999998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1249.6999999999998</v>
      </c>
      <c r="F31" s="677">
        <f>F27+F30</f>
        <v>1249.6999999999998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52858</v>
      </c>
      <c r="F6" s="64">
        <f>SUMIF(项目基本情况!C$12:I$12,C6,项目基本情况!C$15:I$15)</f>
        <v>21</v>
      </c>
      <c r="G6" s="65">
        <f t="shared" ref="G6:G13" si="0">IF(ISERROR(ROUND(POWER(1+H6,D6-F6)*(POWER(1+H6,F6)-1)/(POWER(1+H6,D6)-1),3)),0,ROUND(POWER(1+H6,D6-F6)*(POWER(1+H6,F6)-1)/(POWER(1+H6,D6)-1),3))</f>
        <v>0.747</v>
      </c>
      <c r="H6" s="732">
        <v>0.05</v>
      </c>
      <c r="I6" s="732">
        <v>5.5E-2</v>
      </c>
      <c r="J6" s="66">
        <v>7.4999999999999997E-2</v>
      </c>
      <c r="K6" s="1030">
        <f>SUMIF('数据-汇总表'!C$19:C$33,A6,'数据-汇总表'!E$19:E$33)</f>
        <v>1249.6999999999998</v>
      </c>
      <c r="L6" s="733">
        <v>3500</v>
      </c>
      <c r="M6" s="67">
        <f t="shared" ref="M6:M14" si="1">ROUND(K6*L6/10000,0)</f>
        <v>437</v>
      </c>
      <c r="N6" s="731">
        <f>N23</f>
        <v>0.81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0.81</v>
      </c>
      <c r="Z6" s="72"/>
      <c r="AA6" s="66"/>
      <c r="AB6" s="66"/>
      <c r="AC6" s="1040"/>
      <c r="AD6" s="73"/>
      <c r="AE6" s="1041">
        <f ca="1">IF(AN6="",0,SUMIF(INDIRECT("'"&amp;AN6&amp;"'"&amp;"!E:E"),$AE$5,INDIRECT("'"&amp;AN6&amp;"'"&amp;"!F:F")))</f>
        <v>21</v>
      </c>
      <c r="AF6" s="1348"/>
      <c r="AG6" s="138">
        <f>IF(AF6="",0,AE6-AF6)</f>
        <v>0</v>
      </c>
      <c r="AH6" s="74"/>
      <c r="AI6" s="76">
        <v>365</v>
      </c>
      <c r="AJ6" s="77"/>
      <c r="AK6" s="78">
        <v>5.0000000000000001E-3</v>
      </c>
      <c r="AL6" s="79">
        <v>1.5E-3</v>
      </c>
      <c r="AM6" s="80">
        <v>5.0000000000000001E-3</v>
      </c>
      <c r="AN6" s="1715" t="s">
        <v>3389</v>
      </c>
      <c r="AO6" s="52">
        <f ca="1">SUMIF(INDIRECT("'"&amp;AN6&amp;"'"&amp;"!A:A"),"总价",INDIRECT("'"&amp;AN6&amp;"'"&amp;"!B:B"))</f>
        <v>2308.7970999999998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si="0"/>
        <v>0</v>
      </c>
      <c r="H7" s="732"/>
      <c r="I7" s="732"/>
      <c r="J7" s="66"/>
      <c r="K7" s="1030">
        <f>SUMIF('数据-汇总表'!C$19:C$33,A7,'数据-汇总表'!E$19:E$33)</f>
        <v>0</v>
      </c>
      <c r="L7" s="733"/>
      <c r="M7" s="67">
        <f t="shared" si="1"/>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0"/>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0"/>
        <v>0</v>
      </c>
      <c r="H9" s="66"/>
      <c r="I9" s="66"/>
      <c r="J9" s="66"/>
      <c r="K9" s="1030">
        <f>SUMIF('数据-汇总表'!C$19:C$33,A9,'数据-汇总表'!E$19:E$33)</f>
        <v>0</v>
      </c>
      <c r="L9" s="733"/>
      <c r="M9" s="67">
        <f t="shared" si="1"/>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0"/>
        <v>0</v>
      </c>
      <c r="H10" s="66"/>
      <c r="I10" s="66"/>
      <c r="J10" s="66"/>
      <c r="K10" s="1030">
        <f>SUMIF('数据-汇总表'!C$19:C$33,A10,'数据-汇总表'!E$19:E$33)</f>
        <v>0</v>
      </c>
      <c r="L10" s="733"/>
      <c r="M10" s="67">
        <f t="shared" si="1"/>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0"/>
        <v>0</v>
      </c>
      <c r="H11" s="66"/>
      <c r="I11" s="66"/>
      <c r="J11" s="66"/>
      <c r="K11" s="1030">
        <f>SUMIF('数据-汇总表'!C$19:C$33,A11,'数据-汇总表'!E$19:E$33)</f>
        <v>0</v>
      </c>
      <c r="L11" s="82"/>
      <c r="M11" s="67">
        <f t="shared" si="1"/>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 t="shared" si="0"/>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 t="shared" si="0"/>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1"/>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1249.6999999999998</v>
      </c>
      <c r="L16" s="93">
        <f>ROUND(M16*10000/SUM(K6:K14),0)</f>
        <v>3497</v>
      </c>
      <c r="M16" s="93">
        <f>SUM(M6:M14)</f>
        <v>437</v>
      </c>
      <c r="N16" s="94">
        <f>ROUND(SUMPRODUCT(M6:M14,N6:N14)/M16,3)</f>
        <v>0.81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ROUND((N21+N22)/2,2)</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3441</v>
      </c>
      <c r="D4" s="1756" t="s">
        <v>3389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7</v>
      </c>
      <c r="D14" s="3604">
        <v>3</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1249.6999999999998</v>
      </c>
      <c r="M18" s="302">
        <f>IF(C1="",'数据-汇总表'!E3,SUMIF(项目类型,C1,'数据-汇总表'!E17:E26))</f>
        <v>1249.6999999999998</v>
      </c>
    </row>
    <row r="19" spans="1:36" ht="15">
      <c r="A19" s="1761" t="s">
        <v>1290</v>
      </c>
      <c r="B19" s="1762" t="s">
        <v>1291</v>
      </c>
      <c r="C19" s="134">
        <f ca="1">SUMIF(INDIRECT("'"&amp;C4&amp;"'"&amp;"!A:A"),结果表!B19,INDIRECT("'"&amp;C4&amp;"'"&amp;"!B:B"))</f>
        <v>3944.6024000000002</v>
      </c>
      <c r="D19" s="135">
        <f ca="1">SUMIF(INDIRECT("'"&amp;D4&amp;"'"&amp;"!A:A"),结果表!B19,INDIRECT("'"&amp;D4&amp;"'"&amp;"!B:B"))</f>
        <v>2308.7970999999998</v>
      </c>
      <c r="E19" s="1761" t="s">
        <v>1292</v>
      </c>
      <c r="F19" s="1762" t="s">
        <v>1291</v>
      </c>
      <c r="G19" s="136">
        <f ca="1">ROUND(C19*$C$18+D19*$D$18,0)</f>
        <v>3454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31564</v>
      </c>
      <c r="D20" s="138">
        <f ca="1">SUMIF(INDIRECT("'"&amp;D4&amp;"'"&amp;"!A:A"),结果表!B20,INDIRECT("'"&amp;D4&amp;"'"&amp;"!B:B"))</f>
        <v>18475</v>
      </c>
      <c r="E20" s="1764"/>
      <c r="F20" s="1026" t="s">
        <v>1295</v>
      </c>
      <c r="G20" s="139">
        <f ca="1">ROUND(C20*$C$18+D20*$D$18,0)</f>
        <v>27637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0.70850976900482099</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27637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t="e">
        <f ca="1">ROUND(H101*F45,0)</f>
        <v>#REF!</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45190</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6" t="s">
        <v>1340</v>
      </c>
      <c r="L48" s="3546"/>
      <c r="M48" s="3549" t="e">
        <f ca="1">H101</f>
        <v>#REF!</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t="str">
        <f ca="1">IF(项目基本情况!E8="房地产抵押价值",H107,H109)</f>
        <v>——</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t="e">
        <f ca="1">ROUND(D45*'数据-取费表'!B41/(1+'数据-取费表'!C42),0)</f>
        <v>#REF!</v>
      </c>
      <c r="E52" s="2334" t="s">
        <v>1354</v>
      </c>
      <c r="F52" s="2554">
        <f>'数据-取费表'!B41</f>
        <v>5.6000000000000001E-2</v>
      </c>
      <c r="G52" s="2555"/>
      <c r="H52" s="2544"/>
      <c r="I52" s="1807"/>
      <c r="J52" s="2523">
        <v>1</v>
      </c>
      <c r="K52" s="3571" t="s">
        <v>1355</v>
      </c>
      <c r="L52" s="3571"/>
      <c r="M52" s="2525" t="b">
        <f>D48</f>
        <v>0</v>
      </c>
      <c r="N52" s="2523" t="str">
        <f>E48</f>
        <v>销售额×税（费）率</v>
      </c>
      <c r="O52" s="2526">
        <f>F48</f>
        <v>5.6000000000000001E-2</v>
      </c>
    </row>
    <row r="53" spans="1:35" ht="12" customHeight="1">
      <c r="A53" s="2335" t="s">
        <v>1356</v>
      </c>
      <c r="B53" s="3595" t="s">
        <v>2291</v>
      </c>
      <c r="C53" s="3596"/>
      <c r="D53" s="1087" t="e">
        <f ca="1">ROUND(D45*'数据-取费表'!B41/(1+'数据-取费表'!C42),0)</f>
        <v>#REF!</v>
      </c>
      <c r="E53" s="2334" t="s">
        <v>1354</v>
      </c>
      <c r="F53" s="2554">
        <f>'数据-取费表'!B41</f>
        <v>5.6000000000000001E-2</v>
      </c>
      <c r="G53" s="2555"/>
      <c r="H53" s="2544"/>
      <c r="I53" s="1807"/>
      <c r="J53" s="2523">
        <v>2</v>
      </c>
      <c r="K53" s="3571" t="s">
        <v>1357</v>
      </c>
      <c r="L53" s="3571"/>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5.6000000000000001E-2</v>
      </c>
      <c r="G54" s="2555"/>
      <c r="H54" s="2556"/>
      <c r="I54" s="1807"/>
      <c r="J54" s="2523">
        <v>3</v>
      </c>
      <c r="K54" s="3571" t="s">
        <v>1360</v>
      </c>
      <c r="L54" s="3571"/>
      <c r="M54" s="2525" t="e">
        <f t="shared" ca="1" si="0"/>
        <v>#REF!</v>
      </c>
      <c r="N54" s="2523" t="str">
        <f t="shared" si="0"/>
        <v>增值额×税（费）率</v>
      </c>
      <c r="O54" s="2527" t="str">
        <f t="shared" si="0"/>
        <v>免征</v>
      </c>
    </row>
    <row r="55" spans="1:35" ht="24" customHeight="1">
      <c r="A55" s="3631" t="s">
        <v>1361</v>
      </c>
      <c r="B55" s="3609"/>
      <c r="C55" s="3609"/>
      <c r="D55" s="2324" t="e">
        <f ca="1">IF(H55="个人住宅",0,ROUND(D45*I55,0))</f>
        <v>#REF!</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t="e">
        <f ca="1">D59</f>
        <v>#REF!</v>
      </c>
      <c r="N55" s="2040" t="str">
        <f>E59</f>
        <v>差额计税</v>
      </c>
      <c r="O55" s="2529">
        <f>F59</f>
        <v>0.01</v>
      </c>
    </row>
    <row r="56" spans="1:35" ht="24.75">
      <c r="A56" s="3631" t="s">
        <v>1363</v>
      </c>
      <c r="B56" s="3609"/>
      <c r="C56" s="3609"/>
      <c r="D56" s="2324" t="e">
        <f ca="1">IF(H56="个人住宅",D57,D58)</f>
        <v>#REF!</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0</v>
      </c>
      <c r="O57" s="2533"/>
      <c r="P57" s="2690" t="e">
        <f ca="1">N57/M49</f>
        <v>#VALUE!</v>
      </c>
    </row>
    <row r="58" spans="1:35" ht="24.75">
      <c r="A58" s="2335" t="s">
        <v>1352</v>
      </c>
      <c r="B58" s="3595" t="s">
        <v>1369</v>
      </c>
      <c r="C58" s="3594"/>
      <c r="D58" s="2324" t="e">
        <f ca="1">IF(H58="转让取得",C81,C97)</f>
        <v>#REF!</v>
      </c>
      <c r="E58" s="2334" t="s">
        <v>1364</v>
      </c>
      <c r="F58" s="302" t="s">
        <v>28</v>
      </c>
      <c r="G58" s="2555"/>
      <c r="H58" s="2558"/>
      <c r="I58" s="1808"/>
      <c r="J58" s="3571"/>
      <c r="K58" s="3571"/>
      <c r="L58" s="2530" t="s">
        <v>1370</v>
      </c>
      <c r="M58" s="2534"/>
      <c r="N58" s="2535" t="str">
        <f ca="1">NUMBERSTRING(INT(N57*10000),2)&amp;"元整"</f>
        <v>零元整</v>
      </c>
      <c r="O58" s="2536"/>
    </row>
    <row r="59" spans="1:35" ht="24.75" thickBot="1">
      <c r="A59" s="3575" t="s">
        <v>1371</v>
      </c>
      <c r="B59" s="3576"/>
      <c r="C59" s="357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t="e">
        <f ca="1">M49-N57</f>
        <v>#VALUE!</v>
      </c>
      <c r="O59" s="2539"/>
    </row>
    <row r="60" spans="1:35" ht="12" customHeight="1">
      <c r="A60" s="1809"/>
      <c r="B60" s="1747"/>
      <c r="C60" s="1747"/>
      <c r="D60" s="1747"/>
      <c r="E60" s="1578"/>
      <c r="F60" s="1808"/>
      <c r="G60" s="1808"/>
      <c r="H60" s="1810"/>
      <c r="I60" s="129"/>
      <c r="J60" s="3574"/>
      <c r="K60" s="3571"/>
      <c r="L60" s="2530" t="s">
        <v>1370</v>
      </c>
      <c r="M60" s="2534"/>
      <c r="N60" s="2535" t="e">
        <f ca="1">NUMBERSTRING(INT(N59*10000),2)&amp;"元整"</f>
        <v>#VALUE!</v>
      </c>
      <c r="O60" s="2536"/>
    </row>
    <row r="61" spans="1:35" ht="13.5" thickBot="1">
      <c r="A61" s="3630" t="s">
        <v>1373</v>
      </c>
      <c r="B61" s="3630"/>
      <c r="C61" s="3630"/>
      <c r="D61" s="3630"/>
      <c r="E61" s="3630"/>
      <c r="F61" s="1808"/>
      <c r="G61" s="1808"/>
      <c r="H61" s="1810"/>
      <c r="I61" s="129"/>
      <c r="J61" s="2523">
        <f>J59+1</f>
        <v>7</v>
      </c>
      <c r="K61" s="3571" t="s">
        <v>1374</v>
      </c>
      <c r="L61" s="3571"/>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4"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4"/>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ca="1">ROUND(L64,1)</f>
        <v>#VALUE!</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t="e">
        <f ca="1">IF(M49&gt;1000,M49*0.1%,IF(AND(M49&gt;500,M49&lt;=1000),M49*0.5%,IF(AND(M49&gt;50,M49&lt;=500),M49*1%,IF(AND(M49&gt;1,M49&lt;=50),M49*1.5%))))</f>
        <v>#VALUE!</v>
      </c>
      <c r="M65" s="302" t="e">
        <f ca="1">ROUND(L65,1)</f>
        <v>#VALUE!</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4"/>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 (元)</v>
      </c>
      <c r="D101" s="2586" t="str">
        <f>D4</f>
        <v>收益法 (元)</v>
      </c>
      <c r="E101" s="3550" t="s">
        <v>1431</v>
      </c>
      <c r="F101" s="3551"/>
      <c r="G101" s="1827" t="s">
        <v>1432</v>
      </c>
      <c r="H101" s="2595" t="e">
        <f ca="1">H118</f>
        <v>#REF!</v>
      </c>
      <c r="I101" s="129"/>
    </row>
    <row r="102" spans="1:35" ht="18.75" customHeight="1">
      <c r="A102" s="3582" t="s">
        <v>1433</v>
      </c>
      <c r="B102" s="2584" t="s">
        <v>1432</v>
      </c>
      <c r="C102" s="2585">
        <f ca="1">IF(D32="楼面单价",ROUND(C19,0),C19)</f>
        <v>3944.6024000000002</v>
      </c>
      <c r="D102" s="2586">
        <f ca="1">IF(D32="楼面单价",ROUND(D19,0),D19)</f>
        <v>2308.7970999999998</v>
      </c>
      <c r="E102" s="3550"/>
      <c r="F102" s="3551"/>
      <c r="G102" s="1827" t="s">
        <v>1434</v>
      </c>
      <c r="H102" s="2555" t="e">
        <f ca="1">I118</f>
        <v>#REF!</v>
      </c>
      <c r="I102" s="129"/>
    </row>
    <row r="103" spans="1:35" ht="42.75" customHeight="1">
      <c r="A103" s="3582"/>
      <c r="B103" s="2584" t="s">
        <v>1434</v>
      </c>
      <c r="C103" s="2587">
        <f ca="1">C20</f>
        <v>31564</v>
      </c>
      <c r="D103" s="2588">
        <f ca="1">D20</f>
        <v>18475</v>
      </c>
      <c r="E103" s="3543" t="s">
        <v>1435</v>
      </c>
      <c r="F103" s="3544"/>
      <c r="G103" s="1828" t="s">
        <v>1436</v>
      </c>
      <c r="H103" s="2595">
        <f>IF(D36="正常操作",H104+H105+H106,H105+H106)</f>
        <v>0</v>
      </c>
      <c r="I103" s="129"/>
    </row>
    <row r="104" spans="1:35" ht="18.75" customHeight="1">
      <c r="A104" s="358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t="e">
        <f ca="1">IF(E107="——","——",H101-H103)</f>
        <v>#REF!</v>
      </c>
      <c r="I107" s="129"/>
    </row>
    <row r="108" spans="1:35" ht="18.75" customHeight="1">
      <c r="A108" s="129"/>
      <c r="B108" s="129"/>
      <c r="C108" s="129"/>
      <c r="D108" s="129"/>
      <c r="E108" s="3583"/>
      <c r="F108" s="3551"/>
      <c r="G108" s="1827" t="s">
        <v>1434</v>
      </c>
      <c r="H108" s="2555">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1249.6999999999998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64" t="e">
        <f ca="1">NUMBERSTRING(INT(D118*10000),2)&amp;"元整"</f>
        <v>#REF!</v>
      </c>
      <c r="E119" s="3565"/>
      <c r="F119" s="3564" t="e">
        <f ca="1">NUMBERSTRING(INT(F118*10000),2)&amp;"元整"</f>
        <v>#REF!</v>
      </c>
      <c r="G119" s="3565"/>
      <c r="H119" s="3564" t="e">
        <f ca="1">NUMBERSTRING(INT(H118*10000),2)&amp;"元整"</f>
        <v>#REF!</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t="e">
        <f ca="1">H107</f>
        <v>#REF!</v>
      </c>
      <c r="E122" s="3560"/>
      <c r="F122" s="3560"/>
      <c r="G122" s="3560"/>
      <c r="H122" s="3560"/>
      <c r="I122" s="3561"/>
      <c r="AA122" s="725"/>
    </row>
    <row r="123" spans="1:27" ht="18.75" customHeight="1">
      <c r="A123" s="3558" t="s">
        <v>1452</v>
      </c>
      <c r="B123" s="3558"/>
      <c r="C123" s="3558"/>
      <c r="D123" s="3564" t="e">
        <f ca="1">NUMBERSTRING(INT(D122*10000),2)&amp;"元整"</f>
        <v>#REF!</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1249.6999999999998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1249.6999999999998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437</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1249.6999999999998</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98</v>
      </c>
      <c r="D45" s="235">
        <f ca="1">C47</f>
        <v>4.0000000000000001E-3</v>
      </c>
      <c r="E45" s="236" t="s">
        <v>1539</v>
      </c>
      <c r="F45" s="246">
        <f ca="1">F27</f>
        <v>0.2</v>
      </c>
      <c r="G45" s="247" t="s">
        <v>1548</v>
      </c>
    </row>
    <row r="46" spans="1:7" s="214" customFormat="1" ht="13.5" customHeight="1">
      <c r="A46" s="780" t="s">
        <v>346</v>
      </c>
      <c r="B46" s="248" t="s">
        <v>1549</v>
      </c>
      <c r="C46" s="249">
        <f ca="1">ROUND((C33+C39)*F27,0)</f>
        <v>98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533</v>
      </c>
      <c r="D51" s="232"/>
      <c r="E51" s="232"/>
      <c r="F51" s="264"/>
      <c r="G51" s="234" t="s">
        <v>1560</v>
      </c>
    </row>
    <row r="52" spans="1:7" s="208" customFormat="1" ht="16.5" thickBot="1">
      <c r="A52" s="265" t="s">
        <v>1561</v>
      </c>
      <c r="B52" s="266"/>
      <c r="C52" s="267">
        <f ca="1">C31+C51</f>
        <v>569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J32" sqref="J32"/>
    </sheetView>
  </sheetViews>
  <sheetFormatPr defaultRowHeight="13.5"/>
  <sheetData>
    <row r="1" spans="1:12">
      <c r="B1" t="s">
        <v>3419</v>
      </c>
      <c r="C1" t="s">
        <v>3420</v>
      </c>
      <c r="E1" t="s">
        <v>3419</v>
      </c>
      <c r="F1" t="s">
        <v>3420</v>
      </c>
      <c r="H1" t="s">
        <v>3419</v>
      </c>
      <c r="I1" t="s">
        <v>3420</v>
      </c>
      <c r="K1" t="s">
        <v>3419</v>
      </c>
      <c r="L1" t="s">
        <v>3420</v>
      </c>
    </row>
    <row r="2" spans="1:12">
      <c r="A2" t="s">
        <v>3421</v>
      </c>
      <c r="B2">
        <v>1077</v>
      </c>
      <c r="C2">
        <v>8.34</v>
      </c>
      <c r="D2" t="s">
        <v>3422</v>
      </c>
      <c r="E2">
        <v>2160</v>
      </c>
      <c r="F2">
        <v>7.51</v>
      </c>
      <c r="G2" t="s">
        <v>3423</v>
      </c>
      <c r="H2">
        <v>3001</v>
      </c>
      <c r="I2">
        <v>82.93</v>
      </c>
      <c r="J2" t="s">
        <v>3424</v>
      </c>
      <c r="K2">
        <v>4019</v>
      </c>
      <c r="L2">
        <v>12.64</v>
      </c>
    </row>
    <row r="3" spans="1:12">
      <c r="B3">
        <v>1093</v>
      </c>
      <c r="C3">
        <v>8.41</v>
      </c>
      <c r="E3">
        <v>2196</v>
      </c>
      <c r="F3">
        <v>5.09</v>
      </c>
      <c r="H3">
        <v>3019</v>
      </c>
      <c r="I3">
        <v>12.64</v>
      </c>
      <c r="K3">
        <v>4075</v>
      </c>
      <c r="L3">
        <v>21.27</v>
      </c>
    </row>
    <row r="4" spans="1:12">
      <c r="B4">
        <v>1137</v>
      </c>
      <c r="C4">
        <v>12.87</v>
      </c>
      <c r="E4">
        <v>2197</v>
      </c>
      <c r="F4">
        <v>5.35</v>
      </c>
      <c r="H4">
        <v>3020</v>
      </c>
      <c r="I4">
        <v>12.64</v>
      </c>
      <c r="K4">
        <v>4076</v>
      </c>
      <c r="L4">
        <v>22.52</v>
      </c>
    </row>
    <row r="5" spans="1:12">
      <c r="B5">
        <v>1138</v>
      </c>
      <c r="C5">
        <v>12.56</v>
      </c>
      <c r="E5">
        <v>2202</v>
      </c>
      <c r="F5">
        <v>11.78</v>
      </c>
      <c r="H5">
        <v>3050</v>
      </c>
      <c r="I5">
        <v>34.92</v>
      </c>
      <c r="K5">
        <v>4241</v>
      </c>
      <c r="L5">
        <v>12.24</v>
      </c>
    </row>
    <row r="6" spans="1:12">
      <c r="B6">
        <v>1175</v>
      </c>
      <c r="C6">
        <v>5.44</v>
      </c>
      <c r="E6">
        <v>2203</v>
      </c>
      <c r="F6">
        <v>11.84</v>
      </c>
      <c r="H6">
        <v>3135</v>
      </c>
      <c r="I6">
        <v>14.2</v>
      </c>
      <c r="K6">
        <v>4277</v>
      </c>
      <c r="L6">
        <v>56.24</v>
      </c>
    </row>
    <row r="7" spans="1:12">
      <c r="B7">
        <v>1176</v>
      </c>
      <c r="C7">
        <v>5.26</v>
      </c>
      <c r="E7">
        <v>2204</v>
      </c>
      <c r="F7">
        <v>11.84</v>
      </c>
      <c r="H7">
        <v>3136</v>
      </c>
      <c r="I7">
        <v>14.2</v>
      </c>
      <c r="K7">
        <v>4286</v>
      </c>
      <c r="L7">
        <v>42.95</v>
      </c>
    </row>
    <row r="8" spans="1:12">
      <c r="B8">
        <v>1177</v>
      </c>
      <c r="C8">
        <v>5.26</v>
      </c>
      <c r="E8">
        <v>2205</v>
      </c>
      <c r="F8">
        <v>11.84</v>
      </c>
      <c r="H8">
        <v>3190</v>
      </c>
      <c r="I8">
        <v>6.78</v>
      </c>
      <c r="K8">
        <v>4287</v>
      </c>
      <c r="L8">
        <v>47.65</v>
      </c>
    </row>
    <row r="9" spans="1:12">
      <c r="B9">
        <v>1178</v>
      </c>
      <c r="C9">
        <v>5.44</v>
      </c>
      <c r="E9">
        <v>2206</v>
      </c>
      <c r="F9">
        <v>10.06</v>
      </c>
      <c r="H9">
        <v>3191</v>
      </c>
      <c r="I9">
        <v>8.0299999999999994</v>
      </c>
      <c r="K9">
        <v>4288</v>
      </c>
      <c r="L9">
        <v>43.22</v>
      </c>
    </row>
    <row r="10" spans="1:12">
      <c r="B10">
        <v>1211</v>
      </c>
      <c r="C10">
        <v>12.47</v>
      </c>
      <c r="E10">
        <v>2207</v>
      </c>
      <c r="F10">
        <v>5.24</v>
      </c>
      <c r="H10">
        <v>3230</v>
      </c>
      <c r="I10">
        <v>8.34</v>
      </c>
      <c r="K10">
        <v>4289</v>
      </c>
      <c r="L10">
        <v>43.22</v>
      </c>
    </row>
    <row r="11" spans="1:12">
      <c r="B11">
        <v>1213</v>
      </c>
      <c r="C11">
        <v>13.89</v>
      </c>
      <c r="E11">
        <v>2208</v>
      </c>
      <c r="F11">
        <v>5.49</v>
      </c>
      <c r="H11">
        <v>3231</v>
      </c>
      <c r="I11">
        <v>8.09</v>
      </c>
      <c r="L11">
        <f>SUM(L2:L10)</f>
        <v>301.95000000000005</v>
      </c>
    </row>
    <row r="12" spans="1:12">
      <c r="B12">
        <v>1214</v>
      </c>
      <c r="C12">
        <v>13.34</v>
      </c>
      <c r="E12">
        <v>2249</v>
      </c>
      <c r="F12">
        <v>9.7200000000000006</v>
      </c>
      <c r="H12">
        <v>3251</v>
      </c>
      <c r="I12">
        <v>8.0299999999999994</v>
      </c>
    </row>
    <row r="13" spans="1:12">
      <c r="B13">
        <v>1215</v>
      </c>
      <c r="C13">
        <v>4.68</v>
      </c>
      <c r="E13">
        <v>2250</v>
      </c>
      <c r="F13">
        <v>12.78</v>
      </c>
      <c r="H13">
        <v>3253</v>
      </c>
      <c r="I13">
        <v>4.04</v>
      </c>
    </row>
    <row r="14" spans="1:12">
      <c r="C14">
        <f>SUM(C2:D13)</f>
        <v>107.96000000000001</v>
      </c>
      <c r="E14">
        <v>2251</v>
      </c>
      <c r="F14">
        <v>12.78</v>
      </c>
      <c r="H14">
        <v>3329</v>
      </c>
      <c r="I14">
        <v>13.98</v>
      </c>
    </row>
    <row r="15" spans="1:12">
      <c r="E15">
        <v>2252</v>
      </c>
      <c r="F15">
        <v>12.78</v>
      </c>
      <c r="H15">
        <v>3332</v>
      </c>
      <c r="I15">
        <v>6.62</v>
      </c>
    </row>
    <row r="16" spans="1:12">
      <c r="E16">
        <v>2253</v>
      </c>
      <c r="F16">
        <v>12.78</v>
      </c>
      <c r="H16">
        <v>3334</v>
      </c>
      <c r="I16">
        <v>12.47</v>
      </c>
    </row>
    <row r="17" spans="1:9">
      <c r="E17">
        <v>2254</v>
      </c>
      <c r="F17">
        <v>12.78</v>
      </c>
      <c r="H17">
        <v>3339</v>
      </c>
      <c r="I17">
        <v>12.53</v>
      </c>
    </row>
    <row r="18" spans="1:9">
      <c r="E18">
        <v>2255</v>
      </c>
      <c r="F18">
        <v>12.78</v>
      </c>
      <c r="H18">
        <v>3341</v>
      </c>
      <c r="I18">
        <v>42.95</v>
      </c>
    </row>
    <row r="19" spans="1:9">
      <c r="E19">
        <v>2256</v>
      </c>
      <c r="F19">
        <v>12.58</v>
      </c>
      <c r="H19">
        <v>3342</v>
      </c>
      <c r="I19">
        <v>47.65</v>
      </c>
    </row>
    <row r="20" spans="1:9">
      <c r="E20">
        <v>2257</v>
      </c>
      <c r="F20">
        <v>12.65</v>
      </c>
      <c r="H20">
        <v>3343</v>
      </c>
      <c r="I20">
        <v>43.22</v>
      </c>
    </row>
    <row r="21" spans="1:9">
      <c r="E21">
        <v>2258</v>
      </c>
      <c r="F21">
        <v>10.68</v>
      </c>
      <c r="H21">
        <v>3344</v>
      </c>
      <c r="I21">
        <v>43.22</v>
      </c>
    </row>
    <row r="22" spans="1:9">
      <c r="E22">
        <v>2273</v>
      </c>
      <c r="F22">
        <v>13.94</v>
      </c>
      <c r="I22">
        <f>SUM(I2:I21)</f>
        <v>437.4799999999999</v>
      </c>
    </row>
    <row r="23" spans="1:9">
      <c r="E23">
        <v>2278</v>
      </c>
      <c r="F23">
        <v>44.44</v>
      </c>
    </row>
    <row r="24" spans="1:9">
      <c r="E24">
        <v>2279</v>
      </c>
      <c r="F24">
        <v>47.65</v>
      </c>
    </row>
    <row r="25" spans="1:9">
      <c r="E25" t="s">
        <v>3425</v>
      </c>
      <c r="F25">
        <v>43.22</v>
      </c>
    </row>
    <row r="26" spans="1:9">
      <c r="E26">
        <v>2281</v>
      </c>
      <c r="F26">
        <v>44.71</v>
      </c>
    </row>
    <row r="27" spans="1:9">
      <c r="F27">
        <f>SUM(F2:F26)</f>
        <v>402.31</v>
      </c>
    </row>
    <row r="29" spans="1:9">
      <c r="A29" t="s">
        <v>3426</v>
      </c>
      <c r="B29">
        <f>C14+F27+I22+L11</f>
        <v>1249.6999999999998</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46" sqref="I4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3944.6024000000002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31564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24289792</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23328338</v>
      </c>
      <c r="D6" s="217"/>
      <c r="E6" s="218"/>
      <c r="F6" s="218"/>
      <c r="G6" s="219"/>
    </row>
    <row r="7" spans="1:8" s="214" customFormat="1" ht="13.5" customHeight="1">
      <c r="A7" s="778" t="s">
        <v>1474</v>
      </c>
      <c r="B7" s="215" t="s">
        <v>1475</v>
      </c>
      <c r="C7" s="220">
        <f>ROUND(C6*F7,0)</f>
        <v>711514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249940</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249940</v>
      </c>
      <c r="D10" s="845">
        <f ca="1">IF(B1="",'数据-汇总表'!E6,IF(INDIRECT("'数据-取费表'!c"&amp;$G$1)="住宅",INDIRECT("'数据-取费表'!s"&amp;$G$1),INDIRECT("'数据-取费表'!k"&amp;$G$1)+INDIRECT("'数据-取费表'!s"&amp;$G$1)))</f>
        <v>1249.6999999999998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1249.6999999999998</v>
      </c>
      <c r="E19" s="211">
        <f>'数据-取费表'!B31</f>
        <v>200</v>
      </c>
      <c r="F19" s="231"/>
      <c r="G19" s="1856" t="s">
        <v>3436</v>
      </c>
    </row>
    <row r="20" spans="1:7" s="214" customFormat="1" ht="13.5" customHeight="1">
      <c r="A20" s="255" t="s">
        <v>1574</v>
      </c>
      <c r="B20" s="210" t="s">
        <v>1575</v>
      </c>
      <c r="C20" s="232">
        <f ca="1">ROUND((C5+C19)*F20,0)</f>
        <v>485796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1721667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1704907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16760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4955118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4955118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34113203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4820718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4373950</v>
      </c>
      <c r="D34" s="217"/>
      <c r="E34" s="220"/>
      <c r="F34" s="257"/>
      <c r="G34" s="219"/>
    </row>
    <row r="35" spans="1:7" ht="13.5" customHeight="1">
      <c r="A35" s="780" t="s">
        <v>351</v>
      </c>
      <c r="B35" s="215" t="s">
        <v>1527</v>
      </c>
      <c r="C35" s="220">
        <f ca="1">ROUND(C34*F35,0)</f>
        <v>131219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249940</v>
      </c>
      <c r="D37" s="217">
        <f ca="1">D19</f>
        <v>1249.6999999999998</v>
      </c>
      <c r="E37" s="249">
        <f>'数据-取费表'!B35</f>
        <v>200</v>
      </c>
      <c r="F37" s="259"/>
      <c r="G37" s="261"/>
    </row>
    <row r="38" spans="1:7" ht="13.5" customHeight="1">
      <c r="A38" s="780" t="s">
        <v>354</v>
      </c>
      <c r="B38" s="215" t="s">
        <v>1533</v>
      </c>
      <c r="C38" s="220">
        <f ca="1">ROUND(C34*F38,0)</f>
        <v>65609</v>
      </c>
      <c r="D38" s="220"/>
      <c r="E38" s="220"/>
      <c r="F38" s="259">
        <f>'数据-取费表'!B36</f>
        <v>1.4999999999999999E-2</v>
      </c>
      <c r="G38" s="219" t="s">
        <v>1528</v>
      </c>
    </row>
    <row r="39" spans="1:7" s="214" customFormat="1" ht="13.5" customHeight="1">
      <c r="A39" s="255" t="s">
        <v>1534</v>
      </c>
      <c r="B39" s="210" t="s">
        <v>1535</v>
      </c>
      <c r="C39" s="232">
        <f ca="1">ROUND(C33*F20,0)</f>
        <v>96414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169641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166315</v>
      </c>
      <c r="D42" s="238"/>
      <c r="E42" s="238"/>
      <c r="F42" s="239"/>
      <c r="G42" s="3637" t="s">
        <v>1591</v>
      </c>
    </row>
    <row r="43" spans="1:7" ht="13.5" customHeight="1">
      <c r="A43" s="780" t="s">
        <v>347</v>
      </c>
      <c r="B43" s="215" t="s">
        <v>1545</v>
      </c>
      <c r="C43" s="238">
        <f ca="1">ROUND(IF('数据-取费表'!B22&lt;=1,C39*F22*'数据-取费表'!B20/2,C39*(POWER((1+F22),'数据-取费表'!B20/2)-1)),0)</f>
        <v>3326</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983426</v>
      </c>
      <c r="D45" s="235">
        <f ca="1">C47</f>
        <v>4.0000000000000001E-3</v>
      </c>
      <c r="E45" s="236" t="s">
        <v>1539</v>
      </c>
      <c r="F45" s="246">
        <f ca="1">F27</f>
        <v>0.2</v>
      </c>
      <c r="G45" s="247" t="s">
        <v>1548</v>
      </c>
    </row>
    <row r="46" spans="1:7" s="214" customFormat="1" ht="13.5" customHeight="1">
      <c r="A46" s="780" t="s">
        <v>346</v>
      </c>
      <c r="B46" s="248" t="s">
        <v>1549</v>
      </c>
      <c r="C46" s="249">
        <f ca="1">ROUND((C33+C39)*F27,0)</f>
        <v>983426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6583730</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5332821</v>
      </c>
      <c r="D51" s="232"/>
      <c r="E51" s="232"/>
      <c r="F51" s="264"/>
      <c r="G51" s="234" t="s">
        <v>1560</v>
      </c>
    </row>
    <row r="52" spans="1:7" s="208" customFormat="1" ht="16.5" thickBot="1">
      <c r="A52" s="265" t="s">
        <v>1561</v>
      </c>
      <c r="B52" s="266"/>
      <c r="C52" s="267">
        <f ca="1">C31+C51</f>
        <v>39446024</v>
      </c>
      <c r="D52" s="266"/>
      <c r="E52" s="266"/>
      <c r="F52" s="266"/>
      <c r="G52" s="268"/>
    </row>
    <row r="55" spans="1:7" ht="15">
      <c r="B55" s="270" t="s">
        <v>1562</v>
      </c>
      <c r="C55" s="271"/>
    </row>
    <row r="56" spans="1:7">
      <c r="B56" s="273" t="s">
        <v>802</v>
      </c>
      <c r="C56" s="275">
        <f ca="1">1-C57</f>
        <v>0.86499999999999999</v>
      </c>
    </row>
    <row r="57" spans="1:7">
      <c r="B57" s="273" t="s">
        <v>803</v>
      </c>
      <c r="C57" s="274">
        <f ca="1">ROUND(C51/C52,3)</f>
        <v>0.13500000000000001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-30</v>
      </c>
      <c r="C2" s="276" t="s">
        <v>1595</v>
      </c>
      <c r="D2" s="276"/>
      <c r="E2" s="2806"/>
      <c r="F2" s="2806"/>
      <c r="G2" s="2806"/>
      <c r="H2" s="2806"/>
      <c r="I2" s="2806"/>
      <c r="J2" s="2806"/>
      <c r="K2" s="2806"/>
    </row>
    <row r="3" spans="1:33" ht="18" customHeight="1" thickBot="1">
      <c r="A3" s="203" t="s">
        <v>1464</v>
      </c>
      <c r="B3" s="204">
        <f ca="1">ROUND(B2*10000/IF(C1="",'数据-汇总表'!E3,INDIRECT("'数据-取费表'!K"&amp;$K$1)),0)</f>
        <v>-240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1249.6999999999998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1249.6999999999998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1249.6999999999998</v>
      </c>
      <c r="E20" s="21">
        <f>'数据-取费表'!B28</f>
        <v>200</v>
      </c>
      <c r="F20" s="804"/>
      <c r="G20" s="12"/>
      <c r="H20" s="809"/>
      <c r="I20" s="809"/>
      <c r="J20" s="809"/>
      <c r="K20" s="810"/>
    </row>
    <row r="21" spans="1:33" s="803" customFormat="1" ht="13.5" customHeight="1">
      <c r="A21" s="790" t="s">
        <v>357</v>
      </c>
      <c r="B21" s="813" t="s">
        <v>1628</v>
      </c>
      <c r="C21" s="814">
        <f ca="1">C16+C17+C18</f>
        <v>25</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115" zoomScaleNormal="80" zoomScaleSheetLayoutView="115" workbookViewId="0">
      <selection activeCell="C53" sqref="C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26097</v>
      </c>
      <c r="U2" s="1213">
        <f>面积汇总表!C14</f>
        <v>107.96000000000001</v>
      </c>
      <c r="V2" s="3361">
        <f>ROUND(T2*U2/10000,0)</f>
        <v>282</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3427</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20570</v>
      </c>
      <c r="U3" s="1213">
        <f>面积汇总表!F27</f>
        <v>402.31</v>
      </c>
      <c r="V3" s="3361">
        <f t="shared" ref="V3:V16" si="1">ROUND(T3*U3/10000,0)</f>
        <v>828</v>
      </c>
      <c r="W3" s="1216"/>
      <c r="X3" s="1216"/>
      <c r="Y3" s="1216"/>
      <c r="Z3" s="1216"/>
      <c r="AA3" s="1216"/>
      <c r="AB3" s="1216"/>
      <c r="AC3" s="1217"/>
      <c r="AD3" s="1218"/>
      <c r="AE3" s="1218"/>
      <c r="AF3" s="1218"/>
      <c r="AG3" s="1218"/>
      <c r="AH3" s="1218"/>
      <c r="AI3" s="1218"/>
      <c r="AJ3" s="1219"/>
    </row>
    <row r="4" spans="1:36" ht="15.75">
      <c r="A4" s="3652"/>
      <c r="B4" s="3653"/>
      <c r="C4" s="3653"/>
      <c r="D4" s="3654"/>
      <c r="E4" s="3654"/>
      <c r="F4" s="3654"/>
      <c r="G4" s="3654"/>
      <c r="H4" s="3654"/>
      <c r="I4" s="3654"/>
      <c r="J4" s="3655"/>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17385</v>
      </c>
      <c r="U4" s="1213">
        <f>面积汇总表!I22</f>
        <v>437.4799999999999</v>
      </c>
      <c r="V4" s="3361">
        <f t="shared" si="1"/>
        <v>761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20890</v>
      </c>
      <c r="D5" s="1339">
        <f>ROUND(C6*C17+C20,0)</f>
        <v>20890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15333</v>
      </c>
      <c r="U5" s="1213">
        <f>面积汇总表!L11</f>
        <v>301.95000000000005</v>
      </c>
      <c r="V5" s="3361">
        <f t="shared" si="1"/>
        <v>463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14735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v>1</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3429</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9" t="s">
        <v>1960</v>
      </c>
      <c r="X8" s="36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1"/>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6" t="s">
        <v>3260</v>
      </c>
      <c r="B20" s="167" t="s">
        <v>1994</v>
      </c>
      <c r="C20" s="3325">
        <f>ROUND(IF(F21="与级别开发程度一致",0,(G21-E21)/C21),0)</f>
        <v>0</v>
      </c>
      <c r="D20" s="3341" t="s">
        <v>1998</v>
      </c>
      <c r="E20" s="3342"/>
      <c r="F20" s="3662" t="s">
        <v>1995</v>
      </c>
      <c r="G20" s="36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45190</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17376</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4344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0"/>
      <c r="B37" s="2113" t="s">
        <v>2036</v>
      </c>
      <c r="C37" s="175">
        <f>ROUND(D5*C22*C23*C24*C28*F37,0)</f>
        <v>10426</v>
      </c>
      <c r="D37" s="2098"/>
      <c r="E37" s="171">
        <f t="shared" ref="E37:E42" si="3">ROUND(C37*D37/10000,0)</f>
        <v>0</v>
      </c>
      <c r="F37" s="171">
        <f>SUMIF(修正!A57:A68,G2,修正!B57:B68)</f>
        <v>0.6</v>
      </c>
      <c r="G37" s="171">
        <f>ROUND(IF(E2="工业",C37*$M$42,C37*$M$41),0)</f>
        <v>2607</v>
      </c>
      <c r="H37" s="171">
        <f t="shared" ref="H37:H42" si="4">D37</f>
        <v>0</v>
      </c>
      <c r="I37" s="171">
        <f t="shared" ref="I37:I42" si="5">ROUND(G37*H37/10000,0)</f>
        <v>0</v>
      </c>
      <c r="J37" s="3012"/>
      <c r="K37" s="3359" t="s">
        <v>3272</v>
      </c>
      <c r="L37" s="3357">
        <f ca="1">L36+K38</f>
        <v>3.95E-2</v>
      </c>
      <c r="M37" s="3358">
        <f ca="1">ROUND($L$37*(1+M31),3)</f>
        <v>4.9000000000000002E-2</v>
      </c>
      <c r="N37" s="3358">
        <f ca="1">ROUND($L$37*(1+N31),3)</f>
        <v>4.7E-2</v>
      </c>
      <c r="O37" s="3358">
        <f ca="1">ROUND($L$37*(1+O31),3)</f>
        <v>4.4999999999999998E-2</v>
      </c>
      <c r="P37" s="3358">
        <f ca="1">ROUND($L$37*(1+P31),3)</f>
        <v>4.2999999999999997E-2</v>
      </c>
      <c r="Q37" s="3358">
        <f ca="1">ROUND($L$37*(1+Q31),3)</f>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1"/>
      <c r="B38" s="2041" t="s">
        <v>2037</v>
      </c>
      <c r="C38" s="175">
        <f>ROUND(D5*C22*C23*C24*C28*F38,0)</f>
        <v>5213</v>
      </c>
      <c r="D38" s="2098"/>
      <c r="E38" s="171">
        <f t="shared" si="3"/>
        <v>0</v>
      </c>
      <c r="F38" s="171">
        <f>SUMIF(修正!A57:A68,G2,修正!C57:C68)</f>
        <v>0.3</v>
      </c>
      <c r="G38" s="171">
        <f>ROUND(IF(E2="工业",C38*$M$42,C38*$M$41),0)</f>
        <v>1303</v>
      </c>
      <c r="H38" s="171">
        <f t="shared" si="4"/>
        <v>0</v>
      </c>
      <c r="I38" s="171">
        <f t="shared" si="5"/>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1"/>
      <c r="B39" s="2041" t="s">
        <v>3265</v>
      </c>
      <c r="C39" s="175">
        <f>ROUND(D5*C22*C23*C24*C28*F39,0)</f>
        <v>4344</v>
      </c>
      <c r="D39" s="2098"/>
      <c r="E39" s="171">
        <f t="shared" si="3"/>
        <v>0</v>
      </c>
      <c r="F39" s="171">
        <f>SUMIF(修正!A57:A68,G2,修正!D57:D68)</f>
        <v>0.25</v>
      </c>
      <c r="G39" s="171">
        <f>ROUND(IF(E2="工业",C39*$M$42,C39*$M$41),0)</f>
        <v>1086</v>
      </c>
      <c r="H39" s="171">
        <f t="shared" si="4"/>
        <v>0</v>
      </c>
      <c r="I39" s="171">
        <f t="shared" si="5"/>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4344</v>
      </c>
      <c r="D40" s="2098"/>
      <c r="E40" s="171">
        <f t="shared" si="3"/>
        <v>0</v>
      </c>
      <c r="F40" s="175">
        <f>SUMIF(修正!A57:A68,G2,修正!E57:E68)</f>
        <v>0.25</v>
      </c>
      <c r="G40" s="171">
        <f>ROUND(IF(E2="工业",C40*$M$42,C40*$M$41),0)</f>
        <v>1086</v>
      </c>
      <c r="H40" s="171">
        <f t="shared" si="4"/>
        <v>0</v>
      </c>
      <c r="I40" s="171">
        <f t="shared" si="5"/>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3"/>
        <v>0</v>
      </c>
      <c r="F41" s="175">
        <f>SUMIF(修正!A57:A68,G2,修正!F57:F68)</f>
        <v>0.25</v>
      </c>
      <c r="G41" s="171">
        <f>ROUND(IF(E2="工业",C41*$M$42,C41*$M$41),0)</f>
        <v>0</v>
      </c>
      <c r="H41" s="171">
        <f t="shared" si="4"/>
        <v>0</v>
      </c>
      <c r="I41" s="171">
        <f t="shared" si="5"/>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3"/>
        <v>0</v>
      </c>
      <c r="F42" s="767">
        <f>SUMIF(修正!A57:A68,G2,修正!G57:G68)</f>
        <v>0.15</v>
      </c>
      <c r="G42" s="187">
        <f>ROUND(IF(E2="工业",C42*$M$42,C42*$M$41),0)</f>
        <v>0</v>
      </c>
      <c r="H42" s="187">
        <f t="shared" si="4"/>
        <v>0</v>
      </c>
      <c r="I42" s="187">
        <f t="shared" si="5"/>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3415</v>
      </c>
      <c r="D50" s="1065">
        <f t="shared" ref="D50:D58" si="6">SUMIF($J$49:$N$49,C50,J50:N50)</f>
        <v>1.4999999999999999E-2</v>
      </c>
      <c r="E50" s="744">
        <f>ROUND(SUM(D50:D58),4)</f>
        <v>4.5999999999999999E-2</v>
      </c>
      <c r="F50" s="1814">
        <f>IF(E2="商业",SUMIF(L1:L12,G2,N1:N12),"——")</f>
        <v>0.1</v>
      </c>
      <c r="G50" s="1063">
        <v>1.4999999999999999E-2</v>
      </c>
      <c r="H50" s="1066">
        <f t="shared" ref="H50:H58" si="7">IFERROR(ROUNDDOWN($F$50*I50/2,4),"——")</f>
        <v>1.4999999999999999E-2</v>
      </c>
      <c r="I50" s="3367">
        <v>0.3</v>
      </c>
      <c r="J50" s="1064">
        <f t="shared" ref="J50:J58" si="8">K50+$G50</f>
        <v>0.03</v>
      </c>
      <c r="K50" s="1064">
        <f t="shared" ref="K50:K58" si="9">$L50+$G50</f>
        <v>1.4999999999999999E-2</v>
      </c>
      <c r="L50" s="1064">
        <v>0</v>
      </c>
      <c r="M50" s="1064">
        <f t="shared" ref="M50:N58" si="10">L50-$G50</f>
        <v>-1.4999999999999999E-2</v>
      </c>
      <c r="N50" s="1064">
        <f t="shared" si="10"/>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3415</v>
      </c>
      <c r="D51" s="1065">
        <f t="shared" si="6"/>
        <v>1.0999999999999999E-2</v>
      </c>
      <c r="E51" s="745"/>
      <c r="F51" s="1814"/>
      <c r="G51" s="1063">
        <v>1.0999999999999999E-2</v>
      </c>
      <c r="H51" s="1066">
        <f t="shared" si="7"/>
        <v>1.0999999999999999E-2</v>
      </c>
      <c r="I51" s="3367">
        <v>0.22</v>
      </c>
      <c r="J51" s="1064">
        <f t="shared" si="8"/>
        <v>2.1999999999999999E-2</v>
      </c>
      <c r="K51" s="1064">
        <f t="shared" si="9"/>
        <v>1.0999999999999999E-2</v>
      </c>
      <c r="L51" s="1064">
        <v>0</v>
      </c>
      <c r="M51" s="1064">
        <f t="shared" si="10"/>
        <v>-1.0999999999999999E-2</v>
      </c>
      <c r="N51" s="1064">
        <f t="shared" si="10"/>
        <v>-2.1999999999999999E-2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3415</v>
      </c>
      <c r="D52" s="1065">
        <f t="shared" si="6"/>
        <v>6.0000000000000001E-3</v>
      </c>
      <c r="E52" s="745"/>
      <c r="F52" s="1814"/>
      <c r="G52" s="1063">
        <v>6.0000000000000001E-3</v>
      </c>
      <c r="H52" s="1066">
        <f t="shared" si="7"/>
        <v>6.0000000000000001E-3</v>
      </c>
      <c r="I52" s="3367">
        <v>0.12</v>
      </c>
      <c r="J52" s="1064">
        <f t="shared" si="8"/>
        <v>1.2E-2</v>
      </c>
      <c r="K52" s="1064">
        <f t="shared" si="9"/>
        <v>6.0000000000000001E-3</v>
      </c>
      <c r="L52" s="1064">
        <v>0</v>
      </c>
      <c r="M52" s="1064">
        <f t="shared" si="10"/>
        <v>-6.0000000000000001E-3</v>
      </c>
      <c r="N52" s="1064">
        <f t="shared" si="10"/>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3415</v>
      </c>
      <c r="D53" s="1065">
        <f t="shared" si="6"/>
        <v>2.5000000000000001E-3</v>
      </c>
      <c r="E53" s="745"/>
      <c r="F53" s="1814"/>
      <c r="G53" s="1063">
        <v>2.5000000000000001E-3</v>
      </c>
      <c r="H53" s="1066">
        <f t="shared" si="7"/>
        <v>2.5000000000000001E-3</v>
      </c>
      <c r="I53" s="3367">
        <v>0.05</v>
      </c>
      <c r="J53" s="1064">
        <f t="shared" si="8"/>
        <v>5.0000000000000001E-3</v>
      </c>
      <c r="K53" s="1064">
        <f t="shared" si="9"/>
        <v>2.5000000000000001E-3</v>
      </c>
      <c r="L53" s="1064">
        <v>0</v>
      </c>
      <c r="M53" s="1064">
        <f t="shared" si="10"/>
        <v>-2.5000000000000001E-3</v>
      </c>
      <c r="N53" s="1064">
        <f t="shared" si="10"/>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3431</v>
      </c>
      <c r="D54" s="1065">
        <f t="shared" si="6"/>
        <v>-4.0000000000000001E-3</v>
      </c>
      <c r="E54" s="745"/>
      <c r="F54" s="1814"/>
      <c r="G54" s="1063">
        <v>4.0000000000000001E-3</v>
      </c>
      <c r="H54" s="1066">
        <f t="shared" si="7"/>
        <v>4.0000000000000001E-3</v>
      </c>
      <c r="I54" s="3367">
        <v>0.08</v>
      </c>
      <c r="J54" s="1064">
        <f t="shared" si="8"/>
        <v>8.0000000000000002E-3</v>
      </c>
      <c r="K54" s="1064">
        <f t="shared" si="9"/>
        <v>4.0000000000000001E-3</v>
      </c>
      <c r="L54" s="1064">
        <v>0</v>
      </c>
      <c r="M54" s="1064">
        <f t="shared" si="10"/>
        <v>-4.0000000000000001E-3</v>
      </c>
      <c r="N54" s="1064">
        <f t="shared" si="10"/>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3415</v>
      </c>
      <c r="D55" s="1065">
        <f t="shared" si="6"/>
        <v>2.5000000000000001E-3</v>
      </c>
      <c r="E55" s="745"/>
      <c r="F55" s="1814"/>
      <c r="G55" s="1063">
        <v>2.5000000000000001E-3</v>
      </c>
      <c r="H55" s="1066">
        <f t="shared" si="7"/>
        <v>2.5000000000000001E-3</v>
      </c>
      <c r="I55" s="3367">
        <v>0.05</v>
      </c>
      <c r="J55" s="1064">
        <f t="shared" si="8"/>
        <v>5.0000000000000001E-3</v>
      </c>
      <c r="K55" s="1064">
        <f t="shared" si="9"/>
        <v>2.5000000000000001E-3</v>
      </c>
      <c r="L55" s="1064">
        <v>0</v>
      </c>
      <c r="M55" s="1064">
        <f t="shared" si="10"/>
        <v>-2.5000000000000001E-3</v>
      </c>
      <c r="N55" s="1064">
        <f t="shared" si="10"/>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3415</v>
      </c>
      <c r="D56" s="1065">
        <f t="shared" si="6"/>
        <v>2.5000000000000001E-3</v>
      </c>
      <c r="E56" s="745"/>
      <c r="F56" s="1814"/>
      <c r="G56" s="1063">
        <v>2.5000000000000001E-3</v>
      </c>
      <c r="H56" s="1066">
        <f t="shared" si="7"/>
        <v>2.5000000000000001E-3</v>
      </c>
      <c r="I56" s="3367">
        <v>0.05</v>
      </c>
      <c r="J56" s="1064">
        <f t="shared" si="8"/>
        <v>5.0000000000000001E-3</v>
      </c>
      <c r="K56" s="1064">
        <f t="shared" si="9"/>
        <v>2.5000000000000001E-3</v>
      </c>
      <c r="L56" s="1064">
        <v>0</v>
      </c>
      <c r="M56" s="1064">
        <f t="shared" si="10"/>
        <v>-2.5000000000000001E-3</v>
      </c>
      <c r="N56" s="1064">
        <f t="shared" si="10"/>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3432</v>
      </c>
      <c r="D57" s="1065">
        <f t="shared" si="6"/>
        <v>8.0000000000000002E-3</v>
      </c>
      <c r="E57" s="745"/>
      <c r="F57" s="1814"/>
      <c r="G57" s="1063">
        <v>4.0000000000000001E-3</v>
      </c>
      <c r="H57" s="1066">
        <f t="shared" si="7"/>
        <v>4.0000000000000001E-3</v>
      </c>
      <c r="I57" s="3367">
        <v>0.08</v>
      </c>
      <c r="J57" s="1064">
        <f t="shared" si="8"/>
        <v>8.0000000000000002E-3</v>
      </c>
      <c r="K57" s="1064">
        <f t="shared" si="9"/>
        <v>4.0000000000000001E-3</v>
      </c>
      <c r="L57" s="1064">
        <v>0</v>
      </c>
      <c r="M57" s="1064">
        <f t="shared" si="10"/>
        <v>-4.0000000000000001E-3</v>
      </c>
      <c r="N57" s="1064">
        <f t="shared" si="10"/>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3415</v>
      </c>
      <c r="D58" s="1065">
        <f t="shared" si="6"/>
        <v>2.5000000000000001E-3</v>
      </c>
      <c r="E58" s="746"/>
      <c r="F58" s="1814"/>
      <c r="G58" s="1063">
        <v>2.5000000000000001E-3</v>
      </c>
      <c r="H58" s="1066">
        <f t="shared" si="7"/>
        <v>2.5000000000000001E-3</v>
      </c>
      <c r="I58" s="3368">
        <v>0.05</v>
      </c>
      <c r="J58" s="1064">
        <f t="shared" si="8"/>
        <v>5.0000000000000001E-3</v>
      </c>
      <c r="K58" s="1064">
        <f t="shared" si="9"/>
        <v>2.5000000000000001E-3</v>
      </c>
      <c r="L58" s="1064">
        <v>0</v>
      </c>
      <c r="M58" s="1064">
        <f t="shared" si="10"/>
        <v>-2.5000000000000001E-3</v>
      </c>
      <c r="N58" s="1064">
        <f t="shared" si="10"/>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1">SUMIF($J$60:$N$60,C61,J61:N61)</f>
        <v>0</v>
      </c>
      <c r="E61" s="744">
        <f>ROUND(SUM(D61:D69),4)</f>
        <v>0</v>
      </c>
      <c r="F61" s="1814" t="str">
        <f>IF(E2="办公",SUMIF(L1:L12,G2,N1:N12),"——")</f>
        <v>——</v>
      </c>
      <c r="G61" s="1063"/>
      <c r="H61" s="1066" t="str">
        <f t="shared" ref="H61:H69" si="12">IFERROR(ROUNDDOWN($F$61*I61/2,4),"——")</f>
        <v>——</v>
      </c>
      <c r="I61" s="3367">
        <v>0.25</v>
      </c>
      <c r="J61" s="1064">
        <f t="shared" ref="J61:J69" si="13">K61+$G61</f>
        <v>0</v>
      </c>
      <c r="K61" s="1064">
        <f t="shared" ref="K61:K69" si="14">$L61+$G61</f>
        <v>0</v>
      </c>
      <c r="L61" s="1064">
        <v>0</v>
      </c>
      <c r="M61" s="1064">
        <f t="shared" ref="M61:N69" si="15">L61-$G61</f>
        <v>0</v>
      </c>
      <c r="N61" s="1064">
        <f t="shared" si="15"/>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1"/>
        <v>0</v>
      </c>
      <c r="E62" s="745"/>
      <c r="F62" s="1814"/>
      <c r="G62" s="1063"/>
      <c r="H62" s="1066" t="str">
        <f t="shared" si="12"/>
        <v>——</v>
      </c>
      <c r="I62" s="3367">
        <v>0.26</v>
      </c>
      <c r="J62" s="1064">
        <f t="shared" si="13"/>
        <v>0</v>
      </c>
      <c r="K62" s="1064">
        <f t="shared" si="14"/>
        <v>0</v>
      </c>
      <c r="L62" s="1064">
        <v>0</v>
      </c>
      <c r="M62" s="1064">
        <f t="shared" si="15"/>
        <v>0</v>
      </c>
      <c r="N62" s="1064">
        <f t="shared" si="15"/>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1"/>
        <v>0</v>
      </c>
      <c r="E63" s="745"/>
      <c r="F63" s="1814"/>
      <c r="G63" s="1063"/>
      <c r="H63" s="1066" t="str">
        <f t="shared" si="12"/>
        <v>——</v>
      </c>
      <c r="I63" s="3367">
        <v>0.11</v>
      </c>
      <c r="J63" s="1064">
        <f t="shared" si="13"/>
        <v>0</v>
      </c>
      <c r="K63" s="1064">
        <f t="shared" si="14"/>
        <v>0</v>
      </c>
      <c r="L63" s="1064">
        <v>0</v>
      </c>
      <c r="M63" s="1064">
        <f t="shared" si="15"/>
        <v>0</v>
      </c>
      <c r="N63" s="1064">
        <f t="shared" si="15"/>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1"/>
        <v>0</v>
      </c>
      <c r="E64" s="745"/>
      <c r="F64" s="1814"/>
      <c r="G64" s="1063"/>
      <c r="H64" s="1066" t="str">
        <f t="shared" si="12"/>
        <v>——</v>
      </c>
      <c r="I64" s="3367">
        <v>0.05</v>
      </c>
      <c r="J64" s="1064">
        <f t="shared" si="13"/>
        <v>0</v>
      </c>
      <c r="K64" s="1064">
        <f t="shared" si="14"/>
        <v>0</v>
      </c>
      <c r="L64" s="1064">
        <v>0</v>
      </c>
      <c r="M64" s="1064">
        <f t="shared" si="15"/>
        <v>0</v>
      </c>
      <c r="N64" s="1064">
        <f t="shared" si="15"/>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1"/>
        <v>0</v>
      </c>
      <c r="E65" s="745"/>
      <c r="F65" s="1814"/>
      <c r="G65" s="1063"/>
      <c r="H65" s="1066" t="str">
        <f t="shared" si="12"/>
        <v>——</v>
      </c>
      <c r="I65" s="3367">
        <v>0.05</v>
      </c>
      <c r="J65" s="1064">
        <f t="shared" si="13"/>
        <v>0</v>
      </c>
      <c r="K65" s="1064">
        <f t="shared" si="14"/>
        <v>0</v>
      </c>
      <c r="L65" s="1064">
        <v>0</v>
      </c>
      <c r="M65" s="1064">
        <f t="shared" si="15"/>
        <v>0</v>
      </c>
      <c r="N65" s="1064">
        <f t="shared" si="15"/>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1"/>
        <v>0</v>
      </c>
      <c r="E66" s="745"/>
      <c r="F66" s="1814"/>
      <c r="G66" s="1063"/>
      <c r="H66" s="1066" t="str">
        <f t="shared" si="12"/>
        <v>——</v>
      </c>
      <c r="I66" s="3367">
        <v>0.06</v>
      </c>
      <c r="J66" s="1064">
        <f t="shared" si="13"/>
        <v>0</v>
      </c>
      <c r="K66" s="1064">
        <f t="shared" si="14"/>
        <v>0</v>
      </c>
      <c r="L66" s="1064">
        <v>0</v>
      </c>
      <c r="M66" s="1064">
        <f t="shared" si="15"/>
        <v>0</v>
      </c>
      <c r="N66" s="1064">
        <f t="shared" si="15"/>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1"/>
        <v>0</v>
      </c>
      <c r="E67" s="745"/>
      <c r="F67" s="1814"/>
      <c r="G67" s="1063"/>
      <c r="H67" s="1066" t="str">
        <f t="shared" si="12"/>
        <v>——</v>
      </c>
      <c r="I67" s="3367">
        <v>0.06</v>
      </c>
      <c r="J67" s="1064">
        <f t="shared" si="13"/>
        <v>0</v>
      </c>
      <c r="K67" s="1064">
        <f t="shared" si="14"/>
        <v>0</v>
      </c>
      <c r="L67" s="1064">
        <v>0</v>
      </c>
      <c r="M67" s="1064">
        <f t="shared" si="15"/>
        <v>0</v>
      </c>
      <c r="N67" s="1064">
        <f t="shared" si="15"/>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1"/>
        <v>0</v>
      </c>
      <c r="E68" s="745"/>
      <c r="F68" s="1814"/>
      <c r="G68" s="1063"/>
      <c r="H68" s="1066" t="str">
        <f t="shared" si="12"/>
        <v>——</v>
      </c>
      <c r="I68" s="3367">
        <v>0.09</v>
      </c>
      <c r="J68" s="1064">
        <f t="shared" si="13"/>
        <v>0</v>
      </c>
      <c r="K68" s="1064">
        <f t="shared" si="14"/>
        <v>0</v>
      </c>
      <c r="L68" s="1064">
        <v>0</v>
      </c>
      <c r="M68" s="1064">
        <f t="shared" si="15"/>
        <v>0</v>
      </c>
      <c r="N68" s="1064">
        <f t="shared" si="15"/>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1"/>
        <v>0</v>
      </c>
      <c r="E69" s="746"/>
      <c r="F69" s="1814"/>
      <c r="G69" s="1063"/>
      <c r="H69" s="1066" t="str">
        <f t="shared" si="12"/>
        <v>——</v>
      </c>
      <c r="I69" s="3368">
        <v>7.0000000000000007E-2</v>
      </c>
      <c r="J69" s="1064">
        <f t="shared" si="13"/>
        <v>0</v>
      </c>
      <c r="K69" s="1064">
        <f t="shared" si="14"/>
        <v>0</v>
      </c>
      <c r="L69" s="1064">
        <v>0</v>
      </c>
      <c r="M69" s="1064">
        <f t="shared" si="15"/>
        <v>0</v>
      </c>
      <c r="N69" s="1064">
        <f t="shared" si="15"/>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6">SUMIF($J$71:$N$71,C72,J72:N72)</f>
        <v>0</v>
      </c>
      <c r="E72" s="744">
        <f>ROUND(SUM(D72:D80),4)</f>
        <v>0</v>
      </c>
      <c r="F72" s="1814" t="str">
        <f>IF(E2="住宅",SUMIF(L1:L12,G2,N1:N12),"——")</f>
        <v>——</v>
      </c>
      <c r="G72" s="1063"/>
      <c r="H72" s="1066" t="str">
        <f t="shared" ref="H72:H80" si="17">IFERROR(ROUNDDOWN($F$72*I72/2,4),"——")</f>
        <v>——</v>
      </c>
      <c r="I72" s="3367">
        <v>0.2</v>
      </c>
      <c r="J72" s="1064">
        <f t="shared" ref="J72:J80" si="18">K72+$G72</f>
        <v>0</v>
      </c>
      <c r="K72" s="1064">
        <f t="shared" ref="K72:K80" si="19">$L72+$G72</f>
        <v>0</v>
      </c>
      <c r="L72" s="1064">
        <v>0</v>
      </c>
      <c r="M72" s="1064">
        <f t="shared" ref="M72:N80" si="20">L72-$G72</f>
        <v>0</v>
      </c>
      <c r="N72" s="1064">
        <f t="shared" si="20"/>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6"/>
        <v>0</v>
      </c>
      <c r="E73" s="747"/>
      <c r="F73" s="1814"/>
      <c r="G73" s="1063"/>
      <c r="H73" s="1066" t="str">
        <f t="shared" si="17"/>
        <v>——</v>
      </c>
      <c r="I73" s="3367">
        <v>0.26</v>
      </c>
      <c r="J73" s="1064">
        <f t="shared" si="18"/>
        <v>0</v>
      </c>
      <c r="K73" s="1064">
        <f t="shared" si="19"/>
        <v>0</v>
      </c>
      <c r="L73" s="1064">
        <v>0</v>
      </c>
      <c r="M73" s="1064">
        <f t="shared" si="20"/>
        <v>0</v>
      </c>
      <c r="N73" s="1064">
        <f t="shared" si="20"/>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6"/>
        <v>0</v>
      </c>
      <c r="E74" s="747"/>
      <c r="F74" s="1814"/>
      <c r="G74" s="1063"/>
      <c r="H74" s="1066" t="str">
        <f t="shared" si="17"/>
        <v>——</v>
      </c>
      <c r="I74" s="3367">
        <v>0.1</v>
      </c>
      <c r="J74" s="1064">
        <f t="shared" si="18"/>
        <v>0</v>
      </c>
      <c r="K74" s="1064">
        <f t="shared" si="19"/>
        <v>0</v>
      </c>
      <c r="L74" s="1064">
        <v>0</v>
      </c>
      <c r="M74" s="1064">
        <f t="shared" si="20"/>
        <v>0</v>
      </c>
      <c r="N74" s="1064">
        <f t="shared" si="20"/>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6"/>
        <v>0</v>
      </c>
      <c r="E75" s="747"/>
      <c r="F75" s="1814"/>
      <c r="G75" s="1063"/>
      <c r="H75" s="1066" t="str">
        <f t="shared" si="17"/>
        <v>——</v>
      </c>
      <c r="I75" s="3367">
        <v>0.05</v>
      </c>
      <c r="J75" s="1064">
        <f t="shared" si="18"/>
        <v>0</v>
      </c>
      <c r="K75" s="1064">
        <f t="shared" si="19"/>
        <v>0</v>
      </c>
      <c r="L75" s="1064">
        <v>0</v>
      </c>
      <c r="M75" s="1064">
        <f t="shared" si="20"/>
        <v>0</v>
      </c>
      <c r="N75" s="1064">
        <f t="shared" si="20"/>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6"/>
        <v>0</v>
      </c>
      <c r="E76" s="747"/>
      <c r="F76" s="1814"/>
      <c r="G76" s="1063"/>
      <c r="H76" s="1066" t="str">
        <f t="shared" si="17"/>
        <v>——</v>
      </c>
      <c r="I76" s="3367">
        <v>0.08</v>
      </c>
      <c r="J76" s="1064">
        <f t="shared" si="18"/>
        <v>0</v>
      </c>
      <c r="K76" s="1064">
        <f t="shared" si="19"/>
        <v>0</v>
      </c>
      <c r="L76" s="1064">
        <v>0</v>
      </c>
      <c r="M76" s="1064">
        <f t="shared" si="20"/>
        <v>0</v>
      </c>
      <c r="N76" s="1064">
        <f t="shared" si="20"/>
        <v>0</v>
      </c>
      <c r="O76" s="1119"/>
      <c r="P76" s="1119"/>
      <c r="Z76" s="1998"/>
      <c r="AA76" s="2053"/>
      <c r="AG76" s="1121"/>
      <c r="AK76" s="2053"/>
    </row>
    <row r="77" spans="1:37" ht="25.5">
      <c r="A77" s="2130" t="s">
        <v>2060</v>
      </c>
      <c r="B77" s="1326" t="str">
        <f>估价对象房地状况!C22</f>
        <v>估价对象所在区域基础设施水平</v>
      </c>
      <c r="C77" s="2044"/>
      <c r="D77" s="1065">
        <f t="shared" si="16"/>
        <v>0</v>
      </c>
      <c r="E77" s="747"/>
      <c r="F77" s="1814"/>
      <c r="G77" s="1063"/>
      <c r="H77" s="1066" t="str">
        <f t="shared" si="17"/>
        <v>——</v>
      </c>
      <c r="I77" s="3367">
        <v>0.09</v>
      </c>
      <c r="J77" s="1064">
        <f t="shared" si="18"/>
        <v>0</v>
      </c>
      <c r="K77" s="1064">
        <f t="shared" si="19"/>
        <v>0</v>
      </c>
      <c r="L77" s="1064">
        <v>0</v>
      </c>
      <c r="M77" s="1064">
        <f t="shared" si="20"/>
        <v>0</v>
      </c>
      <c r="N77" s="1064">
        <f t="shared" si="20"/>
        <v>0</v>
      </c>
      <c r="O77" s="1119"/>
      <c r="P77" s="1119"/>
      <c r="Z77" s="1998"/>
      <c r="AA77" s="2053"/>
      <c r="AG77" s="1121"/>
      <c r="AK77" s="2053"/>
    </row>
    <row r="78" spans="1:37" ht="24">
      <c r="A78" s="2130" t="s">
        <v>2057</v>
      </c>
      <c r="B78" s="2136" t="s">
        <v>2058</v>
      </c>
      <c r="C78" s="2044"/>
      <c r="D78" s="1065">
        <f t="shared" si="16"/>
        <v>0</v>
      </c>
      <c r="E78" s="747"/>
      <c r="F78" s="1814"/>
      <c r="G78" s="1063"/>
      <c r="H78" s="1066" t="str">
        <f t="shared" si="17"/>
        <v>——</v>
      </c>
      <c r="I78" s="3367">
        <v>0.05</v>
      </c>
      <c r="J78" s="1064">
        <f t="shared" si="18"/>
        <v>0</v>
      </c>
      <c r="K78" s="1064">
        <f t="shared" si="19"/>
        <v>0</v>
      </c>
      <c r="L78" s="1064">
        <v>0</v>
      </c>
      <c r="M78" s="1064">
        <f t="shared" si="20"/>
        <v>0</v>
      </c>
      <c r="N78" s="1064">
        <f t="shared" si="20"/>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6"/>
        <v>0</v>
      </c>
      <c r="E79" s="747"/>
      <c r="F79" s="1814"/>
      <c r="G79" s="1063"/>
      <c r="H79" s="1066" t="str">
        <f t="shared" si="17"/>
        <v>——</v>
      </c>
      <c r="I79" s="3367">
        <v>0.12</v>
      </c>
      <c r="J79" s="1064">
        <f t="shared" si="18"/>
        <v>0</v>
      </c>
      <c r="K79" s="1064">
        <f t="shared" si="19"/>
        <v>0</v>
      </c>
      <c r="L79" s="1064">
        <v>0</v>
      </c>
      <c r="M79" s="1064">
        <f t="shared" si="20"/>
        <v>0</v>
      </c>
      <c r="N79" s="1064">
        <f t="shared" si="20"/>
        <v>0</v>
      </c>
      <c r="Z79" s="1998"/>
      <c r="AA79" s="2053"/>
      <c r="AG79" s="1121"/>
      <c r="AK79" s="2053"/>
    </row>
    <row r="80" spans="1:37" ht="24.75" thickBot="1">
      <c r="A80" s="2138" t="s">
        <v>2068</v>
      </c>
      <c r="B80" s="2142"/>
      <c r="C80" s="2044"/>
      <c r="D80" s="1065">
        <f t="shared" si="16"/>
        <v>0</v>
      </c>
      <c r="E80" s="748"/>
      <c r="F80" s="1814"/>
      <c r="G80" s="1063"/>
      <c r="H80" s="1066" t="str">
        <f t="shared" si="17"/>
        <v>——</v>
      </c>
      <c r="I80" s="3368">
        <v>0.05</v>
      </c>
      <c r="J80" s="1064">
        <f t="shared" si="18"/>
        <v>0</v>
      </c>
      <c r="K80" s="1064">
        <f t="shared" si="19"/>
        <v>0</v>
      </c>
      <c r="L80" s="1064">
        <v>0</v>
      </c>
      <c r="M80" s="1064">
        <f t="shared" si="20"/>
        <v>0</v>
      </c>
      <c r="N80" s="1064">
        <f t="shared" si="20"/>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1">SUMIF($J$82:$N$82,C83,J83:N83)</f>
        <v>0</v>
      </c>
      <c r="E83" s="744">
        <f>ROUND(SUM(D83:D90),4)</f>
        <v>0</v>
      </c>
      <c r="F83" s="1814" t="str">
        <f>IF(E2="工业",SUMIF(L1:L12,G2,N1:N12),"——")</f>
        <v>——</v>
      </c>
      <c r="G83" s="1063"/>
      <c r="H83" s="1066" t="str">
        <f t="shared" ref="H83:H90" si="22">IFERROR(ROUNDDOWN($F$83*I83/2,4),"——")</f>
        <v>——</v>
      </c>
      <c r="I83" s="3367">
        <v>0.26</v>
      </c>
      <c r="J83" s="1064">
        <f t="shared" ref="J83:J90" si="23">K83+$G83</f>
        <v>0</v>
      </c>
      <c r="K83" s="1064">
        <f t="shared" ref="K83:K90" si="24">$L83+$G83</f>
        <v>0</v>
      </c>
      <c r="L83" s="1064">
        <v>0</v>
      </c>
      <c r="M83" s="1064">
        <f t="shared" ref="M83:N90" si="25">L83-$G83</f>
        <v>0</v>
      </c>
      <c r="N83" s="1064">
        <f t="shared" si="25"/>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1"/>
        <v>0</v>
      </c>
      <c r="E84" s="747"/>
      <c r="F84" s="1814"/>
      <c r="G84" s="1063"/>
      <c r="H84" s="1066" t="str">
        <f t="shared" si="22"/>
        <v>——</v>
      </c>
      <c r="I84" s="3367">
        <v>0.3</v>
      </c>
      <c r="J84" s="1064">
        <f t="shared" si="23"/>
        <v>0</v>
      </c>
      <c r="K84" s="1064">
        <f t="shared" si="24"/>
        <v>0</v>
      </c>
      <c r="L84" s="1064">
        <v>0</v>
      </c>
      <c r="M84" s="1064">
        <f t="shared" si="25"/>
        <v>0</v>
      </c>
      <c r="N84" s="1064">
        <f t="shared" si="25"/>
        <v>0</v>
      </c>
      <c r="Z84" s="1998"/>
      <c r="AA84" s="2053"/>
      <c r="AG84" s="1121"/>
      <c r="AK84" s="2053"/>
    </row>
    <row r="85" spans="1:37" ht="36">
      <c r="A85" s="3369" t="s">
        <v>3276</v>
      </c>
      <c r="B85" s="2134">
        <f>估价对象房地状况!G17</f>
        <v>0</v>
      </c>
      <c r="C85" s="2044"/>
      <c r="D85" s="1065">
        <f t="shared" si="21"/>
        <v>0</v>
      </c>
      <c r="E85" s="747"/>
      <c r="F85" s="1814"/>
      <c r="G85" s="1063"/>
      <c r="H85" s="1066" t="str">
        <f t="shared" si="22"/>
        <v>——</v>
      </c>
      <c r="I85" s="3367">
        <v>0.1</v>
      </c>
      <c r="J85" s="1064">
        <f t="shared" si="23"/>
        <v>0</v>
      </c>
      <c r="K85" s="1064">
        <f t="shared" si="24"/>
        <v>0</v>
      </c>
      <c r="L85" s="1064">
        <v>0</v>
      </c>
      <c r="M85" s="1064">
        <f t="shared" si="25"/>
        <v>0</v>
      </c>
      <c r="N85" s="1064">
        <f t="shared" si="25"/>
        <v>0</v>
      </c>
      <c r="Z85" s="1998"/>
      <c r="AA85" s="2053"/>
      <c r="AG85" s="1121"/>
      <c r="AK85" s="2053"/>
    </row>
    <row r="86" spans="1:37" ht="14.25">
      <c r="A86" s="2130" t="s">
        <v>2067</v>
      </c>
      <c r="B86" s="2134">
        <f>估价对象房地状况!G22</f>
        <v>0</v>
      </c>
      <c r="C86" s="2044"/>
      <c r="D86" s="1065">
        <f t="shared" si="21"/>
        <v>0</v>
      </c>
      <c r="E86" s="747"/>
      <c r="F86" s="1814"/>
      <c r="G86" s="1063"/>
      <c r="H86" s="1066" t="str">
        <f t="shared" si="22"/>
        <v>——</v>
      </c>
      <c r="I86" s="3367">
        <v>0.05</v>
      </c>
      <c r="J86" s="1064">
        <f t="shared" si="23"/>
        <v>0</v>
      </c>
      <c r="K86" s="1064">
        <f t="shared" si="24"/>
        <v>0</v>
      </c>
      <c r="L86" s="1064">
        <v>0</v>
      </c>
      <c r="M86" s="1064">
        <f t="shared" si="25"/>
        <v>0</v>
      </c>
      <c r="N86" s="1064">
        <f t="shared" si="25"/>
        <v>0</v>
      </c>
      <c r="Z86" s="1998"/>
      <c r="AA86" s="2053"/>
      <c r="AG86" s="1121"/>
      <c r="AK86" s="2053"/>
    </row>
    <row r="87" spans="1:37" ht="25.5">
      <c r="A87" s="2130" t="s">
        <v>2059</v>
      </c>
      <c r="B87" s="1326" t="str">
        <f>估价对象房地状况!G19</f>
        <v>估价对象所在区域公共配套设施齐备情况</v>
      </c>
      <c r="C87" s="2044"/>
      <c r="D87" s="1065">
        <f t="shared" si="21"/>
        <v>0</v>
      </c>
      <c r="E87" s="747"/>
      <c r="F87" s="1814"/>
      <c r="G87" s="1063"/>
      <c r="H87" s="1066" t="str">
        <f t="shared" si="22"/>
        <v>——</v>
      </c>
      <c r="I87" s="3367">
        <v>0.06</v>
      </c>
      <c r="J87" s="1064">
        <f t="shared" si="23"/>
        <v>0</v>
      </c>
      <c r="K87" s="1064">
        <f t="shared" si="24"/>
        <v>0</v>
      </c>
      <c r="L87" s="1064">
        <v>0</v>
      </c>
      <c r="M87" s="1064">
        <f t="shared" si="25"/>
        <v>0</v>
      </c>
      <c r="N87" s="1064">
        <f t="shared" si="25"/>
        <v>0</v>
      </c>
    </row>
    <row r="88" spans="1:37" ht="25.5">
      <c r="A88" s="2130" t="s">
        <v>2060</v>
      </c>
      <c r="B88" s="1326" t="str">
        <f>估价对象房地状况!G20</f>
        <v>估价对象所在区域基础设施水平</v>
      </c>
      <c r="C88" s="2044"/>
      <c r="D88" s="1065">
        <f t="shared" si="21"/>
        <v>0</v>
      </c>
      <c r="E88" s="747"/>
      <c r="F88" s="1814"/>
      <c r="G88" s="1063"/>
      <c r="H88" s="1066" t="str">
        <f t="shared" si="22"/>
        <v>——</v>
      </c>
      <c r="I88" s="3367">
        <v>0.12</v>
      </c>
      <c r="J88" s="1064">
        <f t="shared" si="23"/>
        <v>0</v>
      </c>
      <c r="K88" s="1064">
        <f t="shared" si="24"/>
        <v>0</v>
      </c>
      <c r="L88" s="1064">
        <v>0</v>
      </c>
      <c r="M88" s="1064">
        <f t="shared" si="25"/>
        <v>0</v>
      </c>
      <c r="N88" s="1064">
        <f t="shared" si="25"/>
        <v>0</v>
      </c>
    </row>
    <row r="89" spans="1:37" ht="24">
      <c r="A89" s="2130" t="s">
        <v>2057</v>
      </c>
      <c r="B89" s="2136" t="s">
        <v>2071</v>
      </c>
      <c r="C89" s="2044"/>
      <c r="D89" s="1065">
        <f t="shared" si="21"/>
        <v>0</v>
      </c>
      <c r="E89" s="747"/>
      <c r="F89" s="1814"/>
      <c r="G89" s="1063"/>
      <c r="H89" s="1066" t="str">
        <f t="shared" si="22"/>
        <v>——</v>
      </c>
      <c r="I89" s="3367">
        <v>0.06</v>
      </c>
      <c r="J89" s="1064">
        <f t="shared" si="23"/>
        <v>0</v>
      </c>
      <c r="K89" s="1064">
        <f t="shared" si="24"/>
        <v>0</v>
      </c>
      <c r="L89" s="1064">
        <v>0</v>
      </c>
      <c r="M89" s="1064">
        <f t="shared" si="25"/>
        <v>0</v>
      </c>
      <c r="N89" s="1064">
        <f t="shared" si="25"/>
        <v>0</v>
      </c>
    </row>
    <row r="90" spans="1:37" ht="39" thickBot="1">
      <c r="A90" s="2138" t="s">
        <v>2072</v>
      </c>
      <c r="B90" s="2143" t="str">
        <f>估价对象房地状况!G18</f>
        <v>该园区内是否有污染型企业，绿化情况，卫生条件，整体环境状况判断</v>
      </c>
      <c r="C90" s="2044"/>
      <c r="D90" s="1065">
        <f t="shared" si="21"/>
        <v>0</v>
      </c>
      <c r="E90" s="748"/>
      <c r="F90" s="1814"/>
      <c r="G90" s="1063"/>
      <c r="H90" s="1066" t="str">
        <f t="shared" si="22"/>
        <v>——</v>
      </c>
      <c r="I90" s="3368">
        <v>0.05</v>
      </c>
      <c r="J90" s="1064">
        <f t="shared" si="23"/>
        <v>0</v>
      </c>
      <c r="K90" s="1064">
        <f t="shared" si="24"/>
        <v>0</v>
      </c>
      <c r="L90" s="1064">
        <v>0</v>
      </c>
      <c r="M90" s="1064">
        <f t="shared" si="25"/>
        <v>0</v>
      </c>
      <c r="N90" s="1064">
        <f t="shared" si="25"/>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6">K93+$G93</f>
        <v>0</v>
      </c>
      <c r="K93" s="3345">
        <f t="shared" ref="K93:K101" si="27">$L93+$G93</f>
        <v>0</v>
      </c>
      <c r="L93" s="3345">
        <v>0</v>
      </c>
      <c r="M93" s="3345">
        <f t="shared" ref="M93:N101" si="28">L93-$G93</f>
        <v>0</v>
      </c>
      <c r="N93" s="3345">
        <f t="shared" si="28"/>
        <v>0</v>
      </c>
    </row>
    <row r="94" spans="1:37" ht="38.25">
      <c r="A94" s="3379" t="s">
        <v>3279</v>
      </c>
      <c r="B94" s="3370" t="str">
        <f>估价对象房地状况!C18</f>
        <v>估价对象周边道路状况、公共交通通达情况、停车便捷程度，综合评价交通便捷度较好</v>
      </c>
      <c r="C94" s="2044"/>
      <c r="D94" s="3366">
        <f t="shared" ref="D94:D101" si="29">SUMIF($J$60:$N$60,C94,J94:N94)</f>
        <v>0</v>
      </c>
      <c r="E94" s="3383"/>
      <c r="F94" s="1814"/>
      <c r="G94" s="3373"/>
      <c r="H94" s="3421" t="str">
        <f>IFERROR(ROUNDDOWN($F$93*I94/2,4),"——")</f>
        <v>——</v>
      </c>
      <c r="I94" s="3367">
        <v>0.26</v>
      </c>
      <c r="J94" s="3345">
        <f t="shared" si="26"/>
        <v>0</v>
      </c>
      <c r="K94" s="3345">
        <f t="shared" si="27"/>
        <v>0</v>
      </c>
      <c r="L94" s="3345">
        <v>0</v>
      </c>
      <c r="M94" s="3345">
        <f t="shared" si="28"/>
        <v>0</v>
      </c>
      <c r="N94" s="3345">
        <f t="shared" si="28"/>
        <v>0</v>
      </c>
    </row>
    <row r="95" spans="1:37" ht="36">
      <c r="A95" s="3369" t="s">
        <v>3275</v>
      </c>
      <c r="B95" s="3370">
        <f>估价对象房地状况!C19</f>
        <v>0</v>
      </c>
      <c r="C95" s="2044"/>
      <c r="D95" s="3366">
        <f t="shared" si="29"/>
        <v>0</v>
      </c>
      <c r="E95" s="3383"/>
      <c r="F95" s="1814"/>
      <c r="G95" s="3373"/>
      <c r="H95" s="3421" t="str">
        <f t="shared" ref="H95:H101" si="30">IFERROR(ROUNDDOWN($F$93*I95/2,4),"——")</f>
        <v>——</v>
      </c>
      <c r="I95" s="3367">
        <v>0.11</v>
      </c>
      <c r="J95" s="3345">
        <f t="shared" si="26"/>
        <v>0</v>
      </c>
      <c r="K95" s="3345">
        <f t="shared" si="27"/>
        <v>0</v>
      </c>
      <c r="L95" s="3345">
        <v>0</v>
      </c>
      <c r="M95" s="3345">
        <f t="shared" si="28"/>
        <v>0</v>
      </c>
      <c r="N95" s="3345">
        <f t="shared" si="28"/>
        <v>0</v>
      </c>
    </row>
    <row r="96" spans="1:37" ht="36.75">
      <c r="A96" s="3379" t="s">
        <v>3280</v>
      </c>
      <c r="B96" s="3385" t="s">
        <v>3291</v>
      </c>
      <c r="C96" s="2044"/>
      <c r="D96" s="3366">
        <f t="shared" si="29"/>
        <v>0</v>
      </c>
      <c r="E96" s="3383"/>
      <c r="F96" s="1814"/>
      <c r="G96" s="3373"/>
      <c r="H96" s="3421" t="str">
        <f t="shared" si="30"/>
        <v>——</v>
      </c>
      <c r="I96" s="3367">
        <v>0.05</v>
      </c>
      <c r="J96" s="3345">
        <f t="shared" si="26"/>
        <v>0</v>
      </c>
      <c r="K96" s="3345">
        <f t="shared" si="27"/>
        <v>0</v>
      </c>
      <c r="L96" s="3345">
        <v>0</v>
      </c>
      <c r="M96" s="3345">
        <f t="shared" si="28"/>
        <v>0</v>
      </c>
      <c r="N96" s="3345">
        <f t="shared" si="28"/>
        <v>0</v>
      </c>
    </row>
    <row r="97" spans="1:14" ht="24">
      <c r="A97" s="3379" t="s">
        <v>3281</v>
      </c>
      <c r="B97" s="3370">
        <f>估价对象房地状况!C24</f>
        <v>0</v>
      </c>
      <c r="C97" s="2044"/>
      <c r="D97" s="3366">
        <f t="shared" si="29"/>
        <v>0</v>
      </c>
      <c r="E97" s="3383"/>
      <c r="F97" s="1814"/>
      <c r="G97" s="3373"/>
      <c r="H97" s="3421" t="str">
        <f t="shared" si="30"/>
        <v>——</v>
      </c>
      <c r="I97" s="3367">
        <v>0.05</v>
      </c>
      <c r="J97" s="3345">
        <f t="shared" si="26"/>
        <v>0</v>
      </c>
      <c r="K97" s="3345">
        <f t="shared" si="27"/>
        <v>0</v>
      </c>
      <c r="L97" s="3345">
        <v>0</v>
      </c>
      <c r="M97" s="3345">
        <f t="shared" si="28"/>
        <v>0</v>
      </c>
      <c r="N97" s="3345">
        <f t="shared" si="28"/>
        <v>0</v>
      </c>
    </row>
    <row r="98" spans="1:14" ht="24">
      <c r="A98" s="3379" t="s">
        <v>3282</v>
      </c>
      <c r="B98" s="3386" t="s">
        <v>3292</v>
      </c>
      <c r="C98" s="2044"/>
      <c r="D98" s="3366">
        <f t="shared" si="29"/>
        <v>0</v>
      </c>
      <c r="E98" s="3383"/>
      <c r="F98" s="1814"/>
      <c r="G98" s="3373"/>
      <c r="H98" s="3421" t="str">
        <f t="shared" si="30"/>
        <v>——</v>
      </c>
      <c r="I98" s="3367">
        <v>0.06</v>
      </c>
      <c r="J98" s="3345">
        <f t="shared" si="26"/>
        <v>0</v>
      </c>
      <c r="K98" s="3345">
        <f t="shared" si="27"/>
        <v>0</v>
      </c>
      <c r="L98" s="3345">
        <v>0</v>
      </c>
      <c r="M98" s="3345">
        <f t="shared" si="28"/>
        <v>0</v>
      </c>
      <c r="N98" s="3345">
        <f t="shared" si="28"/>
        <v>0</v>
      </c>
    </row>
    <row r="99" spans="1:14" ht="25.5">
      <c r="A99" s="3379" t="s">
        <v>3283</v>
      </c>
      <c r="B99" s="3370" t="str">
        <f>估价对象房地状况!C21</f>
        <v>估价对象所在区域公共配套设施齐备情况</v>
      </c>
      <c r="C99" s="2044"/>
      <c r="D99" s="3366">
        <f t="shared" si="29"/>
        <v>0</v>
      </c>
      <c r="E99" s="3383"/>
      <c r="F99" s="1814"/>
      <c r="G99" s="3373"/>
      <c r="H99" s="3421" t="str">
        <f t="shared" si="30"/>
        <v>——</v>
      </c>
      <c r="I99" s="3367">
        <v>0.06</v>
      </c>
      <c r="J99" s="3345">
        <f t="shared" si="26"/>
        <v>0</v>
      </c>
      <c r="K99" s="3345">
        <f t="shared" si="27"/>
        <v>0</v>
      </c>
      <c r="L99" s="3345">
        <v>0</v>
      </c>
      <c r="M99" s="3345">
        <f t="shared" si="28"/>
        <v>0</v>
      </c>
      <c r="N99" s="3345">
        <f t="shared" si="28"/>
        <v>0</v>
      </c>
    </row>
    <row r="100" spans="1:14" ht="25.5">
      <c r="A100" s="3379" t="s">
        <v>3284</v>
      </c>
      <c r="B100" s="3370" t="str">
        <f>估价对象房地状况!C22</f>
        <v>估价对象所在区域基础设施水平</v>
      </c>
      <c r="C100" s="2044"/>
      <c r="D100" s="3366">
        <f t="shared" si="29"/>
        <v>0</v>
      </c>
      <c r="E100" s="3383"/>
      <c r="F100" s="1814"/>
      <c r="G100" s="3373"/>
      <c r="H100" s="3421" t="str">
        <f t="shared" si="30"/>
        <v>——</v>
      </c>
      <c r="I100" s="3367">
        <v>0.09</v>
      </c>
      <c r="J100" s="3345">
        <f t="shared" si="26"/>
        <v>0</v>
      </c>
      <c r="K100" s="3345">
        <f t="shared" si="27"/>
        <v>0</v>
      </c>
      <c r="L100" s="3345">
        <v>0</v>
      </c>
      <c r="M100" s="3345">
        <f t="shared" si="28"/>
        <v>0</v>
      </c>
      <c r="N100" s="3345">
        <f t="shared" si="28"/>
        <v>0</v>
      </c>
    </row>
    <row r="101" spans="1:14" ht="26.25" thickBot="1">
      <c r="A101" s="3380" t="s">
        <v>3285</v>
      </c>
      <c r="B101" s="3387" t="str">
        <f>估价对象房地状况!C20</f>
        <v>区域自然环境：；人文环境；综合评价环境状况一般</v>
      </c>
      <c r="C101" s="2044"/>
      <c r="D101" s="3366">
        <f t="shared" si="29"/>
        <v>0</v>
      </c>
      <c r="E101" s="3384"/>
      <c r="F101" s="1814"/>
      <c r="G101" s="3373"/>
      <c r="H101" s="3421" t="str">
        <f t="shared" si="30"/>
        <v>——</v>
      </c>
      <c r="I101" s="3368">
        <v>7.0000000000000007E-2</v>
      </c>
      <c r="J101" s="3345">
        <f t="shared" si="26"/>
        <v>0</v>
      </c>
      <c r="K101" s="3345">
        <f t="shared" si="27"/>
        <v>0</v>
      </c>
      <c r="L101" s="3345">
        <v>0</v>
      </c>
      <c r="M101" s="3345">
        <f t="shared" si="28"/>
        <v>0</v>
      </c>
      <c r="N101" s="3345">
        <f t="shared" si="28"/>
        <v>0</v>
      </c>
    </row>
    <row r="103" spans="1:14">
      <c r="A103" s="3658" t="s">
        <v>3300</v>
      </c>
      <c r="B103" s="3658"/>
      <c r="C103" s="3658"/>
      <c r="D103" s="3658"/>
      <c r="E103" s="3658"/>
      <c r="F103" s="3658"/>
      <c r="G103" s="3658"/>
      <c r="H103" s="3658"/>
      <c r="I103" s="3658"/>
      <c r="J103" s="3658"/>
      <c r="K103" s="3390"/>
      <c r="L103" s="3390"/>
      <c r="M103" s="3390"/>
      <c r="N103" s="3390"/>
    </row>
    <row r="104" spans="1:14">
      <c r="A104" s="3659" t="s">
        <v>3301</v>
      </c>
      <c r="B104" s="3659" t="s">
        <v>3302</v>
      </c>
      <c r="C104" s="3391" t="s">
        <v>3303</v>
      </c>
      <c r="D104" s="3392"/>
      <c r="E104" s="3392"/>
      <c r="F104" s="3392"/>
      <c r="G104" s="3392"/>
      <c r="H104" s="3392"/>
      <c r="I104" s="3392"/>
      <c r="J104" s="3393"/>
      <c r="K104" s="3394"/>
      <c r="L104" s="3394"/>
      <c r="M104" s="3394"/>
      <c r="N104" s="3394"/>
    </row>
    <row r="105" spans="1:14">
      <c r="A105" s="3659"/>
      <c r="B105" s="3659"/>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5"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6"/>
      <c r="B111" s="3395" t="s">
        <v>3274</v>
      </c>
      <c r="C111" s="3396">
        <f>$I$3</f>
        <v>1</v>
      </c>
      <c r="D111" s="3396">
        <f t="shared" ref="D111:M111" si="31">$I$3</f>
        <v>1</v>
      </c>
      <c r="E111" s="3396">
        <f t="shared" si="31"/>
        <v>1</v>
      </c>
      <c r="F111" s="3396">
        <f t="shared" si="31"/>
        <v>1</v>
      </c>
      <c r="G111" s="3396">
        <f t="shared" si="31"/>
        <v>1</v>
      </c>
      <c r="H111" s="3396">
        <f t="shared" si="31"/>
        <v>1</v>
      </c>
      <c r="I111" s="3396">
        <f t="shared" si="31"/>
        <v>1</v>
      </c>
      <c r="J111" s="3396">
        <f t="shared" si="31"/>
        <v>1</v>
      </c>
      <c r="K111" s="3396">
        <f t="shared" si="31"/>
        <v>1</v>
      </c>
      <c r="L111" s="3396">
        <f t="shared" si="31"/>
        <v>1</v>
      </c>
      <c r="M111" s="3396">
        <f t="shared" si="31"/>
        <v>1</v>
      </c>
      <c r="N111" s="3396">
        <f>$I$3</f>
        <v>1</v>
      </c>
    </row>
    <row r="112" spans="1:14">
      <c r="A112" s="3647"/>
      <c r="B112" s="3395">
        <v>6</v>
      </c>
      <c r="C112" s="3388">
        <f>(-0.5556*(C111^2)-0.2719*C111+8944)*(10^(-4))</f>
        <v>0.89431725000000006</v>
      </c>
      <c r="D112" s="3388">
        <f>(-0.5556*(D111^2)-0.2719*D111+8944)*(10^(-4))</f>
        <v>0.89431725000000006</v>
      </c>
      <c r="E112" s="3388">
        <f>(-0.7912*(E111^2)-11.3794*E111+8482)*(10^(-4))</f>
        <v>0.84698294000000007</v>
      </c>
      <c r="F112" s="3388">
        <f>(-0.7912*(F111^2)-11.3794*F111+8482)*(10^(-4))</f>
        <v>0.84698294000000007</v>
      </c>
      <c r="G112" s="3388">
        <f>(-0.7912*(G111^2)-11.3794*G111+8482)*(10^(-4))</f>
        <v>0.84698294000000007</v>
      </c>
      <c r="H112" s="3388">
        <f>(-0.7912*(H111^2)-11.3794*H111+8482)*(10^(-4))</f>
        <v>0.84698294000000007</v>
      </c>
      <c r="I112" s="3388">
        <f>(-0.7912*(I111^2)-11.3794*I111+8482)*(10^(-4))</f>
        <v>0.84698294000000007</v>
      </c>
      <c r="J112" s="3388">
        <f>(-0.989*(J111^2)-63.78*J111+7771)*(10^(-4))</f>
        <v>0.77062310000000001</v>
      </c>
      <c r="K112" s="3388">
        <f>(-0.989*(K111^2)-63.78*K111+7771)*(10^(-4))</f>
        <v>0.77062310000000001</v>
      </c>
      <c r="L112" s="3388">
        <f>(-0.989*(L111^2)-63.78*L111+7771)*(10^(-4))</f>
        <v>0.77062310000000001</v>
      </c>
      <c r="M112" s="3388">
        <f>(-0.989*(M111^2)-63.78*M111+7771)*(10^(-4))</f>
        <v>0.77062310000000001</v>
      </c>
      <c r="N112" s="3388">
        <f>(-0.989*(N111^2)-63.78*N111+7771)*(10^(-4))</f>
        <v>0.77062310000000001</v>
      </c>
    </row>
    <row r="113" spans="1:14">
      <c r="A113" s="3648" t="s">
        <v>3317</v>
      </c>
      <c r="B113" s="3648"/>
      <c r="C113" s="3648"/>
      <c r="D113" s="3648"/>
      <c r="E113" s="3648"/>
      <c r="F113" s="3648"/>
      <c r="G113" s="3648"/>
      <c r="H113" s="3648"/>
      <c r="I113" s="3648"/>
      <c r="J113" s="36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2">I118</f>
        <v>0.80359999999999998</v>
      </c>
      <c r="K118" s="3388">
        <f t="shared" si="32"/>
        <v>0.80359999999999998</v>
      </c>
      <c r="L118" s="3388">
        <f t="shared" si="32"/>
        <v>0.80359999999999998</v>
      </c>
      <c r="M118" s="3411">
        <f t="shared" si="32"/>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3">D119</f>
        <v>0.90600000000000003</v>
      </c>
      <c r="F119" s="3388">
        <f t="shared" si="33"/>
        <v>0.90600000000000003</v>
      </c>
      <c r="G119" s="3388">
        <f t="shared" si="33"/>
        <v>0.90600000000000003</v>
      </c>
      <c r="H119" s="3388">
        <f t="shared" si="33"/>
        <v>0.90600000000000003</v>
      </c>
      <c r="I119" s="3388">
        <f>ROUND(0.838-0.0182*B116,4)</f>
        <v>0.79249999999999998</v>
      </c>
      <c r="J119" s="3388">
        <f t="shared" si="32"/>
        <v>0.79249999999999998</v>
      </c>
      <c r="K119" s="3388">
        <f t="shared" si="32"/>
        <v>0.79249999999999998</v>
      </c>
      <c r="L119" s="3388">
        <f t="shared" si="32"/>
        <v>0.79249999999999998</v>
      </c>
      <c r="M119" s="3411">
        <f t="shared" si="32"/>
        <v>0.79249999999999998</v>
      </c>
      <c r="N119" s="3398"/>
    </row>
    <row r="120" spans="1:14">
      <c r="A120" s="3410" t="s">
        <v>3336</v>
      </c>
      <c r="B120" s="3388">
        <f>ROUND(0.9448-0.0115*B116,4)</f>
        <v>0.91610000000000003</v>
      </c>
      <c r="C120" s="3388">
        <f>B120</f>
        <v>0.91610000000000003</v>
      </c>
      <c r="D120" s="3388">
        <f>ROUND(0.937-0.0145*B116,4)</f>
        <v>0.90080000000000005</v>
      </c>
      <c r="E120" s="3388">
        <f t="shared" si="33"/>
        <v>0.90080000000000005</v>
      </c>
      <c r="F120" s="3388">
        <f t="shared" si="33"/>
        <v>0.90080000000000005</v>
      </c>
      <c r="G120" s="3388">
        <f t="shared" si="33"/>
        <v>0.90080000000000005</v>
      </c>
      <c r="H120" s="3388">
        <f t="shared" si="33"/>
        <v>0.90080000000000005</v>
      </c>
      <c r="I120" s="3388">
        <f>ROUND(0.7965-0.0185*B116,4)</f>
        <v>0.75029999999999997</v>
      </c>
      <c r="J120" s="3388">
        <f t="shared" si="32"/>
        <v>0.75029999999999997</v>
      </c>
      <c r="K120" s="3388">
        <f t="shared" si="32"/>
        <v>0.75029999999999997</v>
      </c>
      <c r="L120" s="3388">
        <f t="shared" si="32"/>
        <v>0.75029999999999997</v>
      </c>
      <c r="M120" s="3411">
        <f t="shared" si="32"/>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2"/>
        <v>0.54300000000000004</v>
      </c>
      <c r="K121" s="3413">
        <f t="shared" si="32"/>
        <v>0.54300000000000004</v>
      </c>
      <c r="L121" s="3413">
        <f t="shared" si="32"/>
        <v>0.54300000000000004</v>
      </c>
      <c r="M121" s="3414">
        <f t="shared" si="32"/>
        <v>0.54300000000000004</v>
      </c>
      <c r="N121" s="3398"/>
    </row>
    <row r="122" spans="1:14">
      <c r="A122" s="3415" t="s">
        <v>2616</v>
      </c>
      <c r="B122" s="3388">
        <f>ROUND(0.9404-0.0106*B116,4)</f>
        <v>0.91390000000000005</v>
      </c>
      <c r="C122" s="3388">
        <f>B122</f>
        <v>0.91390000000000005</v>
      </c>
      <c r="D122" s="3388">
        <f>ROUND(0.8955-0.0135*B116,4)</f>
        <v>0.86180000000000001</v>
      </c>
      <c r="E122" s="3388">
        <f>D122</f>
        <v>0.86180000000000001</v>
      </c>
      <c r="F122" s="3388">
        <f>E122</f>
        <v>0.86180000000000001</v>
      </c>
      <c r="G122" s="3388">
        <f>F122</f>
        <v>0.86180000000000001</v>
      </c>
      <c r="H122" s="3388">
        <f>G122</f>
        <v>0.86180000000000001</v>
      </c>
      <c r="I122" s="3388">
        <f>ROUND(0.7632-0.0166*B116,4)</f>
        <v>0.72170000000000001</v>
      </c>
      <c r="J122" s="3388">
        <f t="shared" si="32"/>
        <v>0.72170000000000001</v>
      </c>
      <c r="K122" s="3388">
        <f t="shared" si="32"/>
        <v>0.72170000000000001</v>
      </c>
      <c r="L122" s="3388">
        <f t="shared" si="32"/>
        <v>0.72170000000000001</v>
      </c>
      <c r="M122" s="3411">
        <f t="shared" si="32"/>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F8" sqref="F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3390</v>
      </c>
      <c r="F1" s="1879" t="s">
        <v>3391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47619</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69" t="s">
        <v>1771</v>
      </c>
      <c r="S4" s="3670"/>
      <c r="T4" s="3669" t="s">
        <v>1772</v>
      </c>
      <c r="U4" s="3670"/>
      <c r="V4" s="3697" t="s">
        <v>1773</v>
      </c>
      <c r="W4" s="3697"/>
      <c r="X4" s="1958"/>
      <c r="Y4" s="3669" t="s">
        <v>1775</v>
      </c>
      <c r="Z4" s="3670"/>
      <c r="AA4" s="3664" t="s">
        <v>1771</v>
      </c>
      <c r="AB4" s="3664" t="s">
        <v>1772</v>
      </c>
      <c r="AC4" s="3682" t="s">
        <v>1773</v>
      </c>
    </row>
    <row r="5" spans="1:29" ht="15">
      <c r="A5" s="358"/>
      <c r="B5" s="359"/>
      <c r="C5" s="3675" t="s">
        <v>1673</v>
      </c>
      <c r="D5" s="3676"/>
      <c r="E5" s="3673" t="s">
        <v>1674</v>
      </c>
      <c r="F5" s="3674"/>
      <c r="G5" s="3675" t="s">
        <v>1675</v>
      </c>
      <c r="H5" s="3676"/>
      <c r="I5" s="3675" t="s">
        <v>1676</v>
      </c>
      <c r="J5" s="3676"/>
      <c r="K5" s="559"/>
      <c r="L5" s="2715"/>
      <c r="M5" s="2716"/>
      <c r="N5" s="2716"/>
      <c r="O5" s="2716"/>
      <c r="P5" s="3691"/>
      <c r="Q5" s="3692"/>
      <c r="R5" s="3671"/>
      <c r="S5" s="3672"/>
      <c r="T5" s="3671"/>
      <c r="U5" s="3672"/>
      <c r="V5" s="3698"/>
      <c r="W5" s="3698"/>
      <c r="X5" s="1355"/>
      <c r="Y5" s="3671"/>
      <c r="Z5" s="3672"/>
      <c r="AA5" s="3665"/>
      <c r="AB5" s="3665"/>
      <c r="AC5" s="3683"/>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3"/>
      <c r="Q6" s="3694"/>
      <c r="R6" s="3671"/>
      <c r="S6" s="3672"/>
      <c r="T6" s="3695"/>
      <c r="U6" s="3696"/>
      <c r="V6" s="3698"/>
      <c r="W6" s="3698"/>
      <c r="X6" s="1355"/>
      <c r="Y6" s="3695"/>
      <c r="Z6" s="3696"/>
      <c r="AA6" s="3666"/>
      <c r="AB6" s="3666"/>
      <c r="AC6" s="3684"/>
    </row>
    <row r="7" spans="1:29" s="108" customFormat="1" ht="15.75" thickBot="1">
      <c r="A7" s="362" t="s">
        <v>1679</v>
      </c>
      <c r="B7" s="363"/>
      <c r="C7" s="364">
        <f>'数据-取费表'!B2</f>
        <v>45190</v>
      </c>
      <c r="D7" s="365">
        <v>100</v>
      </c>
      <c r="E7" s="366">
        <v>45170</v>
      </c>
      <c r="F7" s="367">
        <f>SUMIF(59:59,YEAR(E7)&amp;"-"&amp;MONTH(E7),60:60)</f>
        <v>100</v>
      </c>
      <c r="G7" s="366">
        <v>45170</v>
      </c>
      <c r="H7" s="365">
        <f>SUMIF(59:59,YEAR(G7)&amp;"-"&amp;MONTH(G7),60:60)</f>
        <v>100</v>
      </c>
      <c r="I7" s="366">
        <v>45170</v>
      </c>
      <c r="J7" s="365">
        <f>SUMIF(59:59,YEAR(I7)&amp;"-"&amp;MONTH(I7),60:60)</f>
        <v>100</v>
      </c>
      <c r="K7" s="560"/>
      <c r="L7" s="2717"/>
      <c r="M7" s="2718"/>
      <c r="N7" s="2718"/>
      <c r="O7" s="2718"/>
      <c r="P7" s="3699" t="s">
        <v>1680</v>
      </c>
      <c r="Q7" s="3700"/>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1959">
        <f>D7/J7</f>
        <v>1</v>
      </c>
    </row>
    <row r="8" spans="1:29" s="108" customFormat="1" ht="15.75" thickBot="1">
      <c r="A8" s="362" t="s">
        <v>1681</v>
      </c>
      <c r="B8" s="363"/>
      <c r="C8" s="368" t="s">
        <v>3392</v>
      </c>
      <c r="D8" s="365">
        <v>100</v>
      </c>
      <c r="E8" s="368" t="s">
        <v>3394</v>
      </c>
      <c r="F8" s="367">
        <f>SUMIF(62:62,E8,63:63)-SUMIF(62:62,C8,63:63)+100</f>
        <v>105</v>
      </c>
      <c r="G8" s="368" t="s">
        <v>3394</v>
      </c>
      <c r="H8" s="365">
        <f>SUMIF(62:62,G8,63:63)-SUMIF(62:62,C8,63:63)+100</f>
        <v>105</v>
      </c>
      <c r="I8" s="368" t="s">
        <v>3394</v>
      </c>
      <c r="J8" s="365">
        <f>SUMIF(62:62,I8,63:63)-SUMIF(62:62,C8,63:63)+100</f>
        <v>105</v>
      </c>
      <c r="K8" s="560"/>
      <c r="L8" s="2717"/>
      <c r="M8" s="2718"/>
      <c r="N8" s="2718"/>
      <c r="O8" s="2718"/>
      <c r="P8" s="3699" t="s">
        <v>1683</v>
      </c>
      <c r="Q8" s="3668"/>
      <c r="R8" s="701" t="s">
        <v>14</v>
      </c>
      <c r="S8" s="702">
        <f t="shared" si="0"/>
        <v>105</v>
      </c>
      <c r="T8" s="701" t="s">
        <v>14</v>
      </c>
      <c r="U8" s="702">
        <f t="shared" si="1"/>
        <v>105</v>
      </c>
      <c r="V8" s="701" t="s">
        <v>14</v>
      </c>
      <c r="W8" s="702">
        <f t="shared" si="2"/>
        <v>105</v>
      </c>
      <c r="X8" s="703"/>
      <c r="Y8" s="3667" t="s">
        <v>1683</v>
      </c>
      <c r="Z8" s="3668"/>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0" t="s">
        <v>3393</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1"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t="s">
        <v>3415</v>
      </c>
      <c r="D16" s="399"/>
      <c r="E16" s="1904" t="s">
        <v>3415</v>
      </c>
      <c r="F16" s="399"/>
      <c r="G16" s="1904" t="s">
        <v>3415</v>
      </c>
      <c r="H16" s="401"/>
      <c r="I16" s="1904" t="s">
        <v>3415</v>
      </c>
      <c r="J16" s="399"/>
      <c r="K16" s="564"/>
      <c r="L16" s="2722"/>
      <c r="M16" s="2716"/>
      <c r="N16" s="2716"/>
      <c r="O16" s="2716"/>
      <c r="P16" s="3702"/>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2"/>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04" t="s">
        <v>3415</v>
      </c>
      <c r="D18" s="401"/>
      <c r="E18" s="1904" t="s">
        <v>3415</v>
      </c>
      <c r="F18" s="401"/>
      <c r="G18" s="1904" t="s">
        <v>3415</v>
      </c>
      <c r="H18" s="399"/>
      <c r="I18" s="1904" t="s">
        <v>3415</v>
      </c>
      <c r="J18" s="399"/>
      <c r="K18" s="564"/>
      <c r="L18" s="2722"/>
      <c r="M18" s="2716"/>
      <c r="N18" s="2716"/>
      <c r="O18" s="2716"/>
      <c r="P18" s="3702"/>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2"/>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t="s">
        <v>3415</v>
      </c>
      <c r="D20" s="399"/>
      <c r="E20" s="1904" t="s">
        <v>3415</v>
      </c>
      <c r="F20" s="399"/>
      <c r="G20" s="1904" t="s">
        <v>3415</v>
      </c>
      <c r="H20" s="399"/>
      <c r="I20" s="1904" t="s">
        <v>3415</v>
      </c>
      <c r="J20" s="399"/>
      <c r="K20" s="564"/>
      <c r="L20" s="2722"/>
      <c r="M20" s="2716"/>
      <c r="N20" s="2716"/>
      <c r="O20" s="2716"/>
      <c r="P20" s="3702"/>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2"/>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D21/F21</f>
        <v>1</v>
      </c>
      <c r="AB21" s="1353">
        <f>D21/H21</f>
        <v>1</v>
      </c>
      <c r="AC21" s="1962">
        <f>D21/J21</f>
        <v>1</v>
      </c>
    </row>
    <row r="22" spans="1:29" ht="15">
      <c r="A22" s="379"/>
      <c r="B22" s="581"/>
      <c r="C22" s="1964" t="s">
        <v>3416</v>
      </c>
      <c r="D22" s="399"/>
      <c r="E22" s="1964" t="s">
        <v>3416</v>
      </c>
      <c r="F22" s="399"/>
      <c r="G22" s="1964" t="s">
        <v>3416</v>
      </c>
      <c r="H22" s="399"/>
      <c r="I22" s="1964" t="s">
        <v>3416</v>
      </c>
      <c r="J22" s="399"/>
      <c r="K22" s="1130"/>
      <c r="L22" s="2722"/>
      <c r="M22" s="2716"/>
      <c r="N22" s="2716"/>
      <c r="O22" s="2716"/>
      <c r="P22" s="3702"/>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2"/>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t="s">
        <v>3415</v>
      </c>
      <c r="D24" s="399"/>
      <c r="E24" s="1904" t="s">
        <v>3415</v>
      </c>
      <c r="F24" s="399"/>
      <c r="G24" s="1904" t="s">
        <v>3415</v>
      </c>
      <c r="H24" s="399"/>
      <c r="I24" s="1904" t="s">
        <v>3415</v>
      </c>
      <c r="J24" s="399"/>
      <c r="K24" s="564"/>
      <c r="L24" s="2722"/>
      <c r="M24" s="2716"/>
      <c r="N24" s="2716"/>
      <c r="O24" s="2716"/>
      <c r="P24" s="3702"/>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2"/>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2"/>
      <c r="Q26" s="1352"/>
      <c r="R26" s="705"/>
      <c r="S26" s="706"/>
      <c r="T26" s="705"/>
      <c r="U26" s="706"/>
      <c r="V26" s="705"/>
      <c r="W26" s="706"/>
      <c r="X26" s="1355"/>
      <c r="Y26" s="3704"/>
      <c r="Z26" s="1356"/>
      <c r="AA26" s="1353">
        <v>1</v>
      </c>
      <c r="AB26" s="1353">
        <v>1</v>
      </c>
      <c r="AC26" s="1962">
        <v>1</v>
      </c>
    </row>
    <row r="27" spans="1:29" ht="15">
      <c r="A27" s="379"/>
      <c r="B27" s="580" t="s">
        <v>1783</v>
      </c>
      <c r="C27" s="582" t="s">
        <v>3401</v>
      </c>
      <c r="D27" s="386">
        <v>100</v>
      </c>
      <c r="E27" s="565" t="s">
        <v>3401</v>
      </c>
      <c r="F27" s="386">
        <f>SUMIF(89:89,E27,90:90)-SUMIF(89:89,C27,90:90)+100</f>
        <v>100</v>
      </c>
      <c r="G27" s="582" t="s">
        <v>3401</v>
      </c>
      <c r="H27" s="386">
        <f>SUMIF(89:89,G27,90:90)-SUMIF(89:89,C27,90:90)+100</f>
        <v>100</v>
      </c>
      <c r="I27" s="565" t="s">
        <v>3401</v>
      </c>
      <c r="J27" s="386">
        <f>SUMIF(89:89,I27,90:90)-SUMIF(89:89,C27,90:90)+100</f>
        <v>100</v>
      </c>
      <c r="K27" s="561"/>
      <c r="L27" s="2722"/>
      <c r="M27" s="2716"/>
      <c r="N27" s="2716"/>
      <c r="O27" s="2716"/>
      <c r="P27" s="3702"/>
      <c r="Q27" s="1352" t="str">
        <f t="shared" ref="Q27:Q47" si="8">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2"/>
      <c r="Q28" s="1343" t="str">
        <f t="shared" si="8"/>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2"/>
      <c r="Q29" s="1352">
        <f t="shared" si="8"/>
        <v>111</v>
      </c>
      <c r="R29" s="705" t="s">
        <v>14</v>
      </c>
      <c r="S29" s="706">
        <f t="shared" ref="S29:S47" si="9">F29</f>
        <v>100</v>
      </c>
      <c r="T29" s="705" t="s">
        <v>14</v>
      </c>
      <c r="U29" s="706">
        <f t="shared" ref="U29:U47" si="10">H29</f>
        <v>100</v>
      </c>
      <c r="V29" s="705" t="s">
        <v>14</v>
      </c>
      <c r="W29" s="706">
        <f t="shared" ref="W29:W47" si="11">J29</f>
        <v>100</v>
      </c>
      <c r="X29" s="1355"/>
      <c r="Y29" s="3704"/>
      <c r="Z29" s="1356">
        <f t="shared" ref="Z29:Z47" si="12">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2"/>
      <c r="Q30" s="1352">
        <f t="shared" si="8"/>
        <v>111</v>
      </c>
      <c r="R30" s="705" t="s">
        <v>14</v>
      </c>
      <c r="S30" s="706">
        <f t="shared" si="9"/>
        <v>100</v>
      </c>
      <c r="T30" s="705" t="s">
        <v>14</v>
      </c>
      <c r="U30" s="706">
        <f t="shared" si="10"/>
        <v>100</v>
      </c>
      <c r="V30" s="705" t="s">
        <v>14</v>
      </c>
      <c r="W30" s="706">
        <f t="shared" si="11"/>
        <v>100</v>
      </c>
      <c r="X30" s="1355"/>
      <c r="Y30" s="3704"/>
      <c r="Z30" s="1356">
        <f t="shared" si="12"/>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2"/>
      <c r="Q31" s="1352">
        <f t="shared" si="8"/>
        <v>111</v>
      </c>
      <c r="R31" s="705" t="s">
        <v>14</v>
      </c>
      <c r="S31" s="706">
        <f t="shared" si="9"/>
        <v>100</v>
      </c>
      <c r="T31" s="705" t="s">
        <v>14</v>
      </c>
      <c r="U31" s="706">
        <f t="shared" si="10"/>
        <v>100</v>
      </c>
      <c r="V31" s="705" t="s">
        <v>14</v>
      </c>
      <c r="W31" s="706">
        <f t="shared" si="11"/>
        <v>100</v>
      </c>
      <c r="X31" s="1355"/>
      <c r="Y31" s="3704"/>
      <c r="Z31" s="1356">
        <f t="shared" si="12"/>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2"/>
      <c r="Q32" s="1352">
        <f t="shared" si="8"/>
        <v>111</v>
      </c>
      <c r="R32" s="705" t="s">
        <v>14</v>
      </c>
      <c r="S32" s="706">
        <f t="shared" si="9"/>
        <v>100</v>
      </c>
      <c r="T32" s="705" t="s">
        <v>14</v>
      </c>
      <c r="U32" s="706">
        <f t="shared" si="10"/>
        <v>100</v>
      </c>
      <c r="V32" s="705" t="s">
        <v>14</v>
      </c>
      <c r="W32" s="706">
        <f t="shared" si="11"/>
        <v>100</v>
      </c>
      <c r="X32" s="1355"/>
      <c r="Y32" s="3704"/>
      <c r="Z32" s="1356">
        <f t="shared" si="12"/>
        <v>111</v>
      </c>
      <c r="AA32" s="1353">
        <f t="shared" si="3"/>
        <v>1</v>
      </c>
      <c r="AB32" s="1353">
        <f t="shared" si="4"/>
        <v>1</v>
      </c>
      <c r="AC32" s="1962">
        <f t="shared" si="5"/>
        <v>1</v>
      </c>
    </row>
    <row r="33" spans="1:29" ht="15">
      <c r="A33" s="391" t="s">
        <v>1694</v>
      </c>
      <c r="B33" s="63" t="s">
        <v>1817</v>
      </c>
      <c r="C33" s="411" t="s">
        <v>3405</v>
      </c>
      <c r="D33" s="418">
        <v>100</v>
      </c>
      <c r="E33" s="411" t="s">
        <v>3405</v>
      </c>
      <c r="F33" s="412">
        <f>SUMIF(101:101,E33,102:102)-SUMIF(101:101,C33,102:102)+100</f>
        <v>100</v>
      </c>
      <c r="G33" s="411" t="s">
        <v>3405</v>
      </c>
      <c r="H33" s="386">
        <f>SUMIF(101:101,G33,102:102)-SUMIF(101:101,C33,102:102)+100</f>
        <v>100</v>
      </c>
      <c r="I33" s="411" t="s">
        <v>3405</v>
      </c>
      <c r="J33" s="418">
        <f>SUMIF(101:101,I33,102:102)-SUMIF(101:101,C33,102:102)+100</f>
        <v>100</v>
      </c>
      <c r="K33" s="561"/>
      <c r="L33" s="2722"/>
      <c r="M33" s="2716"/>
      <c r="N33" s="2716"/>
      <c r="O33" s="2716"/>
      <c r="P33" s="3705" t="s">
        <v>1696</v>
      </c>
      <c r="Q33" s="1352" t="str">
        <f t="shared" si="8"/>
        <v>建筑类型</v>
      </c>
      <c r="R33" s="705" t="s">
        <v>14</v>
      </c>
      <c r="S33" s="706">
        <f t="shared" si="9"/>
        <v>100</v>
      </c>
      <c r="T33" s="705" t="s">
        <v>14</v>
      </c>
      <c r="U33" s="706">
        <f t="shared" si="10"/>
        <v>100</v>
      </c>
      <c r="V33" s="705" t="s">
        <v>14</v>
      </c>
      <c r="W33" s="706">
        <f t="shared" si="11"/>
        <v>100</v>
      </c>
      <c r="X33" s="1355"/>
      <c r="Y33" s="3708" t="s">
        <v>1696</v>
      </c>
      <c r="Z33" s="1356" t="str">
        <f t="shared" si="12"/>
        <v>建筑类型</v>
      </c>
      <c r="AA33" s="1353">
        <f t="shared" si="3"/>
        <v>1</v>
      </c>
      <c r="AB33" s="1353">
        <f t="shared" si="4"/>
        <v>1</v>
      </c>
      <c r="AC33" s="1962">
        <f t="shared" si="5"/>
        <v>1</v>
      </c>
    </row>
    <row r="34" spans="1:29" s="422" customFormat="1" ht="15">
      <c r="A34" s="419"/>
      <c r="B34" s="375" t="s">
        <v>1697</v>
      </c>
      <c r="C34" s="420">
        <f>'数据-基础表'!I13</f>
        <v>107.96000000000001</v>
      </c>
      <c r="D34" s="127">
        <v>100</v>
      </c>
      <c r="E34" s="381">
        <v>65</v>
      </c>
      <c r="F34" s="376">
        <f>LOOKUP(E34,104:104,105:105)-LOOKUP(C34,104:104,105:105)+100</f>
        <v>100</v>
      </c>
      <c r="G34" s="380">
        <v>57</v>
      </c>
      <c r="H34" s="127">
        <f>LOOKUP(G34,104:104,105:105)-LOOKUP(C34,104:104,105:105)+100</f>
        <v>100</v>
      </c>
      <c r="I34" s="380">
        <v>83</v>
      </c>
      <c r="J34" s="127">
        <f>LOOKUP(I34,104:104,105:105)-LOOKUP(C34,104:104,105:105)+100</f>
        <v>100</v>
      </c>
      <c r="K34" s="562"/>
      <c r="L34" s="2721"/>
      <c r="M34" s="2723"/>
      <c r="N34" s="2723"/>
      <c r="O34" s="2723"/>
      <c r="P34" s="3706"/>
      <c r="Q34" s="707" t="str">
        <f t="shared" si="8"/>
        <v>项目建筑规模</v>
      </c>
      <c r="R34" s="708" t="s">
        <v>14</v>
      </c>
      <c r="S34" s="709">
        <f t="shared" si="9"/>
        <v>100</v>
      </c>
      <c r="T34" s="708" t="s">
        <v>14</v>
      </c>
      <c r="U34" s="709">
        <f t="shared" si="10"/>
        <v>100</v>
      </c>
      <c r="V34" s="708" t="s">
        <v>14</v>
      </c>
      <c r="W34" s="709">
        <f t="shared" si="11"/>
        <v>100</v>
      </c>
      <c r="X34" s="710"/>
      <c r="Y34" s="3708"/>
      <c r="Z34" s="711" t="str">
        <f t="shared" si="12"/>
        <v>项目建筑规模</v>
      </c>
      <c r="AA34" s="1353">
        <f t="shared" si="3"/>
        <v>1</v>
      </c>
      <c r="AB34" s="1353">
        <f t="shared" si="4"/>
        <v>1</v>
      </c>
      <c r="AC34" s="1962">
        <f t="shared" si="5"/>
        <v>1</v>
      </c>
    </row>
    <row r="35" spans="1:29" ht="15">
      <c r="A35" s="423"/>
      <c r="B35" s="375" t="s">
        <v>1698</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c r="L35" s="2722"/>
      <c r="M35" s="2716"/>
      <c r="N35" s="2716"/>
      <c r="O35" s="2716"/>
      <c r="P35" s="3706"/>
      <c r="Q35" s="1352" t="str">
        <f t="shared" si="8"/>
        <v>建筑结构</v>
      </c>
      <c r="R35" s="705" t="s">
        <v>14</v>
      </c>
      <c r="S35" s="706">
        <f t="shared" si="9"/>
        <v>100</v>
      </c>
      <c r="T35" s="705" t="s">
        <v>14</v>
      </c>
      <c r="U35" s="706">
        <f t="shared" si="10"/>
        <v>100</v>
      </c>
      <c r="V35" s="705" t="s">
        <v>14</v>
      </c>
      <c r="W35" s="706">
        <f t="shared" si="11"/>
        <v>100</v>
      </c>
      <c r="X35" s="1355"/>
      <c r="Y35" s="3708"/>
      <c r="Z35" s="1356" t="str">
        <f t="shared" si="12"/>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8"/>
        <v>公共部分装修</v>
      </c>
      <c r="R36" s="705" t="s">
        <v>14</v>
      </c>
      <c r="S36" s="706">
        <f t="shared" si="9"/>
        <v>100</v>
      </c>
      <c r="T36" s="705" t="s">
        <v>14</v>
      </c>
      <c r="U36" s="706">
        <f t="shared" si="10"/>
        <v>100</v>
      </c>
      <c r="V36" s="705" t="s">
        <v>14</v>
      </c>
      <c r="W36" s="706">
        <f t="shared" si="11"/>
        <v>100</v>
      </c>
      <c r="X36" s="1355"/>
      <c r="Y36" s="3708"/>
      <c r="Z36" s="1356" t="str">
        <f t="shared" si="12"/>
        <v>公共部分装修</v>
      </c>
      <c r="AA36" s="1353">
        <f t="shared" si="3"/>
        <v>1</v>
      </c>
      <c r="AB36" s="1353">
        <f t="shared" si="4"/>
        <v>1</v>
      </c>
      <c r="AC36" s="1962">
        <f t="shared" si="5"/>
        <v>1</v>
      </c>
    </row>
    <row r="37" spans="1:29" ht="15">
      <c r="A37" s="423"/>
      <c r="B37" s="375" t="s">
        <v>1786</v>
      </c>
      <c r="C37" s="425">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c r="L37" s="2722"/>
      <c r="M37" s="2716"/>
      <c r="N37" s="2716"/>
      <c r="O37" s="2716"/>
      <c r="P37" s="3706"/>
      <c r="Q37" s="1352" t="str">
        <f t="shared" si="8"/>
        <v>成新度</v>
      </c>
      <c r="R37" s="705" t="s">
        <v>14</v>
      </c>
      <c r="S37" s="706">
        <f t="shared" si="9"/>
        <v>100</v>
      </c>
      <c r="T37" s="705" t="s">
        <v>14</v>
      </c>
      <c r="U37" s="706">
        <f t="shared" si="10"/>
        <v>100</v>
      </c>
      <c r="V37" s="705" t="s">
        <v>14</v>
      </c>
      <c r="W37" s="706">
        <f t="shared" si="11"/>
        <v>100</v>
      </c>
      <c r="X37" s="1355"/>
      <c r="Y37" s="3708"/>
      <c r="Z37" s="1356" t="str">
        <f t="shared" si="12"/>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8"/>
        <v>写字楼等级</v>
      </c>
      <c r="R38" s="701" t="s">
        <v>14</v>
      </c>
      <c r="S38" s="702">
        <f t="shared" si="9"/>
        <v>100</v>
      </c>
      <c r="T38" s="701" t="s">
        <v>14</v>
      </c>
      <c r="U38" s="702">
        <f t="shared" si="10"/>
        <v>100</v>
      </c>
      <c r="V38" s="701" t="s">
        <v>14</v>
      </c>
      <c r="W38" s="702">
        <f t="shared" si="11"/>
        <v>100</v>
      </c>
      <c r="X38" s="703"/>
      <c r="Y38" s="3708"/>
      <c r="Z38" s="52" t="str">
        <f t="shared" si="12"/>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8"/>
        <v>物业管理</v>
      </c>
      <c r="R39" s="705" t="s">
        <v>14</v>
      </c>
      <c r="S39" s="706">
        <f t="shared" si="9"/>
        <v>100</v>
      </c>
      <c r="T39" s="705" t="s">
        <v>14</v>
      </c>
      <c r="U39" s="706">
        <f t="shared" si="10"/>
        <v>100</v>
      </c>
      <c r="V39" s="705" t="s">
        <v>14</v>
      </c>
      <c r="W39" s="706">
        <f t="shared" si="11"/>
        <v>100</v>
      </c>
      <c r="X39" s="1355"/>
      <c r="Y39" s="3708" t="s">
        <v>1696</v>
      </c>
      <c r="Z39" s="1356" t="str">
        <f t="shared" si="12"/>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8"/>
        <v>市政基础设施</v>
      </c>
      <c r="R40" s="705" t="s">
        <v>14</v>
      </c>
      <c r="S40" s="706">
        <f t="shared" si="9"/>
        <v>100</v>
      </c>
      <c r="T40" s="705" t="s">
        <v>14</v>
      </c>
      <c r="U40" s="706">
        <f t="shared" si="10"/>
        <v>100</v>
      </c>
      <c r="V40" s="705" t="s">
        <v>14</v>
      </c>
      <c r="W40" s="706">
        <f t="shared" si="11"/>
        <v>100</v>
      </c>
      <c r="X40" s="1355"/>
      <c r="Y40" s="3708"/>
      <c r="Z40" s="1356" t="str">
        <f t="shared" si="12"/>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8"/>
        <v>层高</v>
      </c>
      <c r="R41" s="705" t="s">
        <v>14</v>
      </c>
      <c r="S41" s="706">
        <f t="shared" si="9"/>
        <v>100</v>
      </c>
      <c r="T41" s="705" t="s">
        <v>14</v>
      </c>
      <c r="U41" s="706">
        <f t="shared" si="10"/>
        <v>100</v>
      </c>
      <c r="V41" s="705" t="s">
        <v>14</v>
      </c>
      <c r="W41" s="706">
        <f t="shared" si="11"/>
        <v>100</v>
      </c>
      <c r="X41" s="1355"/>
      <c r="Y41" s="3708"/>
      <c r="Z41" s="1356" t="str">
        <f t="shared" si="12"/>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8"/>
        <v>单套建筑面积</v>
      </c>
      <c r="R42" s="708" t="s">
        <v>14</v>
      </c>
      <c r="S42" s="709">
        <f t="shared" si="9"/>
        <v>100</v>
      </c>
      <c r="T42" s="708" t="s">
        <v>14</v>
      </c>
      <c r="U42" s="709">
        <f t="shared" si="10"/>
        <v>100</v>
      </c>
      <c r="V42" s="708" t="s">
        <v>14</v>
      </c>
      <c r="W42" s="709">
        <f t="shared" si="11"/>
        <v>100</v>
      </c>
      <c r="X42" s="710"/>
      <c r="Y42" s="3708"/>
      <c r="Z42" s="711" t="str">
        <f t="shared" si="12"/>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8"/>
        <v>内部装修</v>
      </c>
      <c r="R43" s="705" t="s">
        <v>14</v>
      </c>
      <c r="S43" s="706">
        <f t="shared" si="9"/>
        <v>100</v>
      </c>
      <c r="T43" s="705" t="s">
        <v>14</v>
      </c>
      <c r="U43" s="706">
        <f t="shared" si="10"/>
        <v>100</v>
      </c>
      <c r="V43" s="705" t="s">
        <v>14</v>
      </c>
      <c r="W43" s="706">
        <f t="shared" si="11"/>
        <v>100</v>
      </c>
      <c r="X43" s="1355"/>
      <c r="Y43" s="3708"/>
      <c r="Z43" s="1356" t="str">
        <f t="shared" si="12"/>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8"/>
        <v>内部装修维护情况</v>
      </c>
      <c r="R44" s="705" t="s">
        <v>14</v>
      </c>
      <c r="S44" s="706">
        <f t="shared" si="9"/>
        <v>100</v>
      </c>
      <c r="T44" s="705" t="s">
        <v>14</v>
      </c>
      <c r="U44" s="706">
        <f t="shared" si="10"/>
        <v>100</v>
      </c>
      <c r="V44" s="705" t="s">
        <v>14</v>
      </c>
      <c r="W44" s="706">
        <f t="shared" si="11"/>
        <v>100</v>
      </c>
      <c r="X44" s="1355"/>
      <c r="Y44" s="3708"/>
      <c r="Z44" s="1356" t="str">
        <f t="shared" si="12"/>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8"/>
        <v>111</v>
      </c>
      <c r="R45" s="701" t="s">
        <v>14</v>
      </c>
      <c r="S45" s="702">
        <f t="shared" si="9"/>
        <v>100</v>
      </c>
      <c r="T45" s="701" t="s">
        <v>14</v>
      </c>
      <c r="U45" s="702">
        <f t="shared" si="10"/>
        <v>100</v>
      </c>
      <c r="V45" s="701" t="s">
        <v>14</v>
      </c>
      <c r="W45" s="702">
        <f t="shared" si="11"/>
        <v>100</v>
      </c>
      <c r="X45" s="703"/>
      <c r="Y45" s="3708"/>
      <c r="Z45" s="52">
        <f t="shared" si="12"/>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8"/>
        <v>111</v>
      </c>
      <c r="R46" s="705" t="s">
        <v>14</v>
      </c>
      <c r="S46" s="706">
        <f t="shared" si="9"/>
        <v>100</v>
      </c>
      <c r="T46" s="705" t="s">
        <v>14</v>
      </c>
      <c r="U46" s="706">
        <f t="shared" si="10"/>
        <v>100</v>
      </c>
      <c r="V46" s="705" t="s">
        <v>14</v>
      </c>
      <c r="W46" s="706">
        <f t="shared" si="11"/>
        <v>100</v>
      </c>
      <c r="X46" s="1355"/>
      <c r="Y46" s="3708"/>
      <c r="Z46" s="1356">
        <f t="shared" si="12"/>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8"/>
        <v>111</v>
      </c>
      <c r="R47" s="705" t="s">
        <v>14</v>
      </c>
      <c r="S47" s="706">
        <f t="shared" si="9"/>
        <v>100</v>
      </c>
      <c r="T47" s="705" t="s">
        <v>14</v>
      </c>
      <c r="U47" s="706">
        <f t="shared" si="10"/>
        <v>100</v>
      </c>
      <c r="V47" s="705" t="s">
        <v>14</v>
      </c>
      <c r="W47" s="706">
        <f t="shared" si="11"/>
        <v>100</v>
      </c>
      <c r="X47" s="1355"/>
      <c r="Y47" s="3709"/>
      <c r="Z47" s="1356">
        <f t="shared" si="12"/>
        <v>111</v>
      </c>
      <c r="AA47" s="1353">
        <f t="shared" si="3"/>
        <v>1</v>
      </c>
      <c r="AB47" s="1353">
        <f t="shared" si="4"/>
        <v>1</v>
      </c>
      <c r="AC47" s="1962">
        <f t="shared" si="5"/>
        <v>1</v>
      </c>
    </row>
    <row r="48" spans="1:29" ht="15">
      <c r="A48" s="430" t="s">
        <v>1708</v>
      </c>
      <c r="B48" s="431"/>
      <c r="C48" s="1154" t="s">
        <v>0</v>
      </c>
      <c r="D48" s="1155"/>
      <c r="E48" s="1156">
        <v>50000</v>
      </c>
      <c r="F48" s="1157"/>
      <c r="G48" s="1158">
        <v>50000</v>
      </c>
      <c r="H48" s="1159"/>
      <c r="I48" s="1156">
        <v>50000</v>
      </c>
      <c r="J48" s="436"/>
      <c r="K48" s="714"/>
      <c r="L48" s="2724"/>
      <c r="M48" s="2716"/>
      <c r="N48" s="2716"/>
      <c r="O48" s="2716"/>
      <c r="P48" s="3681" t="str">
        <f>A48</f>
        <v>成交单价（元/平方米）</v>
      </c>
      <c r="Q48" s="3710"/>
      <c r="R48" s="3711">
        <f>E48</f>
        <v>50000</v>
      </c>
      <c r="S48" s="3711"/>
      <c r="T48" s="3711">
        <f>G48</f>
        <v>50000</v>
      </c>
      <c r="U48" s="3711"/>
      <c r="V48" s="3711">
        <f>I48</f>
        <v>50000</v>
      </c>
      <c r="W48" s="3711"/>
      <c r="X48" s="397"/>
      <c r="Y48" s="712"/>
      <c r="Z48" s="397"/>
      <c r="AA48" s="397"/>
      <c r="AB48" s="397"/>
      <c r="AC48" s="578"/>
    </row>
    <row r="49" spans="1:29" ht="15.75" thickBot="1">
      <c r="A49" s="437" t="s">
        <v>1793</v>
      </c>
      <c r="B49" s="438"/>
      <c r="C49" s="1160">
        <f>R50</f>
        <v>47619</v>
      </c>
      <c r="D49" s="2317" t="s">
        <v>2138</v>
      </c>
      <c r="E49" s="1161">
        <f>R49</f>
        <v>47619</v>
      </c>
      <c r="F49" s="2318"/>
      <c r="G49" s="1160">
        <f>T49</f>
        <v>47619</v>
      </c>
      <c r="H49" s="2318"/>
      <c r="I49" s="1161">
        <f>V49</f>
        <v>47619</v>
      </c>
      <c r="J49" s="2318"/>
      <c r="K49" s="2320">
        <f>F49+H49+J49</f>
        <v>0</v>
      </c>
      <c r="L49" s="2724"/>
      <c r="M49" s="2716"/>
      <c r="N49" s="2716"/>
      <c r="O49" s="2716"/>
      <c r="P49" s="3681" t="str">
        <f>A49</f>
        <v>比较价值（元/平方米）</v>
      </c>
      <c r="Q49" s="3710"/>
      <c r="R49" s="3711">
        <f>IF(F1="售价",ROUND(PRODUCT(R48,AA7:AA47),0),ROUND(PRODUCT(R48,AA7:AA47),1))</f>
        <v>47619</v>
      </c>
      <c r="S49" s="3711"/>
      <c r="T49" s="3711">
        <f>IF(F1="售价",ROUND(PRODUCT(T48,AB7:AB47),0),ROUND(PRODUCT(T48,AB7:AB47),1))</f>
        <v>47619</v>
      </c>
      <c r="U49" s="3711"/>
      <c r="V49" s="3711">
        <f>IF(F1="售价",ROUND(PRODUCT(V48,AC7:AC47),0),ROUND(PRODUCT(V48,AC7:AC47),1))</f>
        <v>47619</v>
      </c>
      <c r="W49" s="3711"/>
      <c r="X49" s="397"/>
      <c r="Y49" s="397"/>
      <c r="Z49" s="397"/>
      <c r="AA49" s="397"/>
      <c r="AB49" s="397"/>
      <c r="AC49" s="578"/>
    </row>
    <row r="50" spans="1:29" ht="15.75" thickBot="1">
      <c r="A50" s="441" t="s">
        <v>1794</v>
      </c>
      <c r="B50" s="442"/>
      <c r="C50" s="1163">
        <f>R50</f>
        <v>47619</v>
      </c>
      <c r="D50" s="1163"/>
      <c r="E50" s="1163"/>
      <c r="F50" s="1163"/>
      <c r="G50" s="1163"/>
      <c r="H50" s="1163"/>
      <c r="I50" s="1163"/>
      <c r="J50" s="443"/>
      <c r="K50" s="715"/>
      <c r="L50" s="2724"/>
      <c r="M50" s="2716"/>
      <c r="N50" s="2716"/>
      <c r="O50" s="2716"/>
      <c r="P50" s="3712" t="str">
        <f>A50</f>
        <v>估价对象XX用房的比较价值（楼面单价，元/平方米）</v>
      </c>
      <c r="Q50" s="3713"/>
      <c r="R50" s="3714">
        <f>IF(F1="售价",ROUND(IF(D49="简单平均",AVERAGE(R49:V49),R49*F49+T49*H49+V49*J49),0),ROUND(IF(D49="简单平均",AVERAGE(R49:V49),R49*F49+T49*H49+V49*J49),1))</f>
        <v>47619</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5.0001050001049929E-2</v>
      </c>
      <c r="F53" s="449" t="str">
        <f>IF(OR(E53&gt;=0.3,E53&lt;=-0.3),"超过30%","")</f>
        <v/>
      </c>
      <c r="G53" s="448">
        <f>IF(G48&lt;G49,G49/G48-1,G48/G49-1)</f>
        <v>5.0001050001049929E-2</v>
      </c>
      <c r="H53" s="449" t="str">
        <f>IF(OR(G53&gt;=0.3,G53&lt;=-0.3),"超过30%","")</f>
        <v/>
      </c>
      <c r="I53" s="448">
        <f>IF(I48&lt;I49,I49/I48-1,I48/I49-1)</f>
        <v>5.0001050001049929E-2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3">EDATE(E59,-1)</f>
        <v>45078</v>
      </c>
      <c r="G59" s="1185">
        <f t="shared" si="13"/>
        <v>45047</v>
      </c>
      <c r="H59" s="1185">
        <f t="shared" si="13"/>
        <v>45017</v>
      </c>
      <c r="I59" s="1185">
        <f t="shared" si="13"/>
        <v>44986</v>
      </c>
      <c r="J59" s="1185">
        <f t="shared" si="13"/>
        <v>44958</v>
      </c>
      <c r="K59" s="1185">
        <f t="shared" si="13"/>
        <v>44927</v>
      </c>
      <c r="L59" s="1185">
        <f t="shared" si="13"/>
        <v>44896</v>
      </c>
      <c r="M59" s="1185">
        <f t="shared" si="13"/>
        <v>44866</v>
      </c>
      <c r="N59" s="1185">
        <f t="shared" si="13"/>
        <v>44835</v>
      </c>
      <c r="O59" s="1185">
        <f t="shared" si="13"/>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1" t="s">
        <v>3395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2" t="s">
        <v>3396</v>
      </c>
      <c r="D87" s="3452" t="s">
        <v>3397</v>
      </c>
      <c r="E87" s="3452" t="s">
        <v>3398</v>
      </c>
      <c r="F87" s="3452" t="s">
        <v>3399</v>
      </c>
      <c r="G87" s="3452" t="s">
        <v>3400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3402</v>
      </c>
      <c r="D89" s="3452" t="s">
        <v>3403</v>
      </c>
      <c r="E89" s="3452" t="s">
        <v>3404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17">D90-$K27</f>
        <v>100</v>
      </c>
      <c r="F90" s="493">
        <f t="shared" si="17"/>
        <v>100</v>
      </c>
      <c r="G90" s="493">
        <f t="shared" si="17"/>
        <v>100</v>
      </c>
      <c r="H90" s="493">
        <f t="shared" si="17"/>
        <v>100</v>
      </c>
      <c r="I90" s="493">
        <f t="shared" si="17"/>
        <v>100</v>
      </c>
      <c r="J90" s="493">
        <f t="shared" si="17"/>
        <v>100</v>
      </c>
      <c r="K90" s="493">
        <f t="shared" si="17"/>
        <v>100</v>
      </c>
      <c r="L90" s="493">
        <f t="shared" si="17"/>
        <v>100</v>
      </c>
      <c r="M90" s="493">
        <f t="shared" si="17"/>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3"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19">C102-$K33</f>
        <v>100</v>
      </c>
      <c r="E102" s="493">
        <f t="shared" si="19"/>
        <v>100</v>
      </c>
      <c r="F102" s="493">
        <f t="shared" si="19"/>
        <v>100</v>
      </c>
      <c r="G102" s="493">
        <f t="shared" si="19"/>
        <v>100</v>
      </c>
      <c r="H102" s="493">
        <f t="shared" si="19"/>
        <v>100</v>
      </c>
      <c r="I102" s="493">
        <f t="shared" si="19"/>
        <v>100</v>
      </c>
      <c r="J102" s="493">
        <f t="shared" si="19"/>
        <v>100</v>
      </c>
      <c r="K102" s="493">
        <f t="shared" si="19"/>
        <v>100</v>
      </c>
      <c r="L102" s="493">
        <f t="shared" si="19"/>
        <v>100</v>
      </c>
      <c r="M102" s="494">
        <f t="shared" si="19"/>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0">D104&amp;"(含)"&amp;"-"&amp;E104</f>
        <v>300(含)-500</v>
      </c>
      <c r="E103" s="527" t="str">
        <f t="shared" si="20"/>
        <v>500(含)-800</v>
      </c>
      <c r="F103" s="527" t="str">
        <f t="shared" si="20"/>
        <v>800(含)-</v>
      </c>
      <c r="G103" s="527" t="str">
        <f t="shared" si="20"/>
        <v>(含)-</v>
      </c>
      <c r="H103" s="527" t="str">
        <f t="shared" si="20"/>
        <v>(含)-</v>
      </c>
      <c r="I103" s="527" t="str">
        <f t="shared" si="20"/>
        <v>(含)-</v>
      </c>
      <c r="J103" s="527" t="str">
        <f t="shared" si="20"/>
        <v>(含)-</v>
      </c>
      <c r="K103" s="527" t="str">
        <f t="shared" si="20"/>
        <v>(含)-</v>
      </c>
      <c r="L103" s="527" t="str">
        <f t="shared" si="20"/>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3408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1">C107-$K35</f>
        <v>100</v>
      </c>
      <c r="E107" s="493">
        <f t="shared" si="21"/>
        <v>100</v>
      </c>
      <c r="F107" s="493">
        <f t="shared" si="21"/>
        <v>100</v>
      </c>
      <c r="G107" s="493">
        <f t="shared" si="21"/>
        <v>100</v>
      </c>
      <c r="H107" s="493">
        <f t="shared" si="21"/>
        <v>100</v>
      </c>
      <c r="I107" s="493">
        <f t="shared" si="21"/>
        <v>100</v>
      </c>
      <c r="J107" s="493">
        <f t="shared" si="21"/>
        <v>100</v>
      </c>
      <c r="K107" s="493">
        <f t="shared" si="21"/>
        <v>100</v>
      </c>
      <c r="L107" s="493">
        <f t="shared" si="21"/>
        <v>100</v>
      </c>
      <c r="M107" s="494">
        <f t="shared" si="21"/>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3409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2">C109-$K36</f>
        <v>100</v>
      </c>
      <c r="E109" s="493">
        <f t="shared" si="22"/>
        <v>100</v>
      </c>
      <c r="F109" s="493">
        <f t="shared" si="22"/>
        <v>100</v>
      </c>
      <c r="G109" s="493">
        <f t="shared" si="22"/>
        <v>100</v>
      </c>
      <c r="H109" s="493">
        <f t="shared" si="22"/>
        <v>100</v>
      </c>
      <c r="I109" s="493">
        <f t="shared" si="22"/>
        <v>100</v>
      </c>
      <c r="J109" s="493">
        <f t="shared" si="22"/>
        <v>100</v>
      </c>
      <c r="K109" s="493">
        <f t="shared" si="22"/>
        <v>100</v>
      </c>
      <c r="L109" s="493">
        <f t="shared" si="22"/>
        <v>100</v>
      </c>
      <c r="M109" s="494">
        <f t="shared" si="22"/>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3">D112+$K37</f>
        <v>100</v>
      </c>
      <c r="F112" s="493">
        <f t="shared" si="23"/>
        <v>100</v>
      </c>
      <c r="G112" s="493">
        <f t="shared" si="23"/>
        <v>100</v>
      </c>
      <c r="H112" s="493">
        <f t="shared" si="23"/>
        <v>100</v>
      </c>
      <c r="I112" s="493">
        <f t="shared" si="23"/>
        <v>100</v>
      </c>
      <c r="J112" s="493">
        <f t="shared" si="23"/>
        <v>100</v>
      </c>
      <c r="K112" s="493">
        <f t="shared" si="23"/>
        <v>100</v>
      </c>
      <c r="L112" s="493">
        <f t="shared" si="23"/>
        <v>100</v>
      </c>
      <c r="M112" s="493">
        <f t="shared" si="23"/>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2"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5">C116-$K39</f>
        <v>100</v>
      </c>
      <c r="E116" s="493">
        <f t="shared" si="25"/>
        <v>100</v>
      </c>
      <c r="F116" s="493">
        <f t="shared" si="25"/>
        <v>100</v>
      </c>
      <c r="G116" s="493">
        <f t="shared" si="25"/>
        <v>100</v>
      </c>
      <c r="H116" s="493">
        <f t="shared" si="25"/>
        <v>100</v>
      </c>
      <c r="I116" s="493">
        <f t="shared" si="25"/>
        <v>100</v>
      </c>
      <c r="J116" s="493">
        <f t="shared" si="25"/>
        <v>100</v>
      </c>
      <c r="K116" s="493">
        <f t="shared" si="25"/>
        <v>100</v>
      </c>
      <c r="L116" s="493">
        <f t="shared" si="25"/>
        <v>100</v>
      </c>
      <c r="M116" s="494">
        <f t="shared" si="25"/>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6">D120-$K41</f>
        <v>100</v>
      </c>
      <c r="F120" s="493">
        <f t="shared" si="26"/>
        <v>100</v>
      </c>
      <c r="G120" s="493">
        <f t="shared" si="26"/>
        <v>100</v>
      </c>
      <c r="H120" s="493">
        <f t="shared" si="26"/>
        <v>100</v>
      </c>
      <c r="I120" s="493">
        <f t="shared" si="26"/>
        <v>100</v>
      </c>
      <c r="J120" s="493">
        <f t="shared" si="26"/>
        <v>100</v>
      </c>
      <c r="K120" s="493">
        <f t="shared" si="26"/>
        <v>100</v>
      </c>
      <c r="L120" s="493">
        <f t="shared" si="26"/>
        <v>100</v>
      </c>
      <c r="M120" s="493">
        <f t="shared" si="26"/>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2" t="s">
        <v>3412</v>
      </c>
      <c r="D123" s="3452" t="s">
        <v>3413</v>
      </c>
      <c r="E123" s="3452" t="s">
        <v>3414</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27">C124-$K43</f>
        <v>100</v>
      </c>
      <c r="E124" s="493">
        <f t="shared" si="27"/>
        <v>100</v>
      </c>
      <c r="F124" s="493">
        <f t="shared" si="27"/>
        <v>100</v>
      </c>
      <c r="G124" s="493">
        <f t="shared" si="27"/>
        <v>100</v>
      </c>
      <c r="H124" s="493">
        <f t="shared" si="27"/>
        <v>100</v>
      </c>
      <c r="I124" s="493">
        <f t="shared" si="27"/>
        <v>100</v>
      </c>
      <c r="J124" s="493">
        <f t="shared" si="27"/>
        <v>100</v>
      </c>
      <c r="K124" s="493">
        <f t="shared" si="27"/>
        <v>100</v>
      </c>
      <c r="L124" s="493">
        <f t="shared" si="27"/>
        <v>100</v>
      </c>
      <c r="M124" s="494">
        <f t="shared" si="27"/>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2308.7970999999998</v>
      </c>
      <c r="C2" s="1387" t="s">
        <v>879</v>
      </c>
      <c r="D2" s="1471">
        <f ca="1">C40+J29+L46</f>
        <v>23087971</v>
      </c>
      <c r="E2" s="1388" t="s">
        <v>880</v>
      </c>
      <c r="F2" s="1389"/>
      <c r="G2" s="2706"/>
      <c r="H2" s="2695"/>
      <c r="I2" s="2695"/>
      <c r="J2" s="2695"/>
      <c r="K2" s="2696"/>
      <c r="L2" s="2695"/>
      <c r="M2" s="2695"/>
    </row>
    <row r="3" spans="1:37" ht="18" customHeight="1" thickBot="1">
      <c r="A3" s="1390" t="s">
        <v>881</v>
      </c>
      <c r="B3" s="1391">
        <f ca="1">IF(ISERROR(D2/F43),0,ROUND(D2/F43,0))</f>
        <v>18475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1849678</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1847369</v>
      </c>
      <c r="D6" s="155" t="s">
        <v>2106</v>
      </c>
      <c r="E6" s="302" t="s">
        <v>696</v>
      </c>
      <c r="F6" s="303">
        <f ca="1">INDIRECT("'数据-取费表'!u"&amp;$G$1)</f>
        <v>4.5</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1249.6999999999998</v>
      </c>
      <c r="G7" s="1384"/>
      <c r="H7" s="304"/>
      <c r="I7" s="3643"/>
      <c r="J7" s="306"/>
      <c r="K7" s="307"/>
      <c r="L7" s="302" t="s">
        <v>697</v>
      </c>
      <c r="M7" s="303">
        <f ca="1">F7</f>
        <v>1249.6999999999998</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2309</v>
      </c>
      <c r="D10" s="1366" t="s">
        <v>2116</v>
      </c>
      <c r="E10" s="313" t="s">
        <v>701</v>
      </c>
      <c r="F10" s="1116" t="s">
        <v>3417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5332821</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4373950</v>
      </c>
      <c r="D14" s="1345" t="s">
        <v>708</v>
      </c>
      <c r="E14" s="1342"/>
      <c r="F14" s="319"/>
      <c r="G14" s="1384"/>
      <c r="H14" s="982" t="s">
        <v>398</v>
      </c>
      <c r="I14" s="302" t="s">
        <v>709</v>
      </c>
      <c r="J14" s="21">
        <f ca="1">C29</f>
        <v>6583730</v>
      </c>
      <c r="K14" s="12"/>
      <c r="L14" s="807"/>
      <c r="M14" s="808"/>
    </row>
    <row r="15" spans="1:37" s="1397" customFormat="1" ht="18" customHeight="1" thickBot="1">
      <c r="A15" s="982" t="s">
        <v>399</v>
      </c>
      <c r="B15" s="302" t="s">
        <v>710</v>
      </c>
      <c r="C15" s="21">
        <f ca="1">ROUND(C14*F15,0)</f>
        <v>131219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32919</v>
      </c>
      <c r="K16" s="1087" t="s">
        <v>715</v>
      </c>
      <c r="L16" s="1088"/>
      <c r="M16" s="1072"/>
    </row>
    <row r="17" spans="1:37" s="1397" customFormat="1" ht="18" customHeight="1">
      <c r="A17" s="982" t="s">
        <v>681</v>
      </c>
      <c r="B17" s="302" t="s">
        <v>716</v>
      </c>
      <c r="C17" s="21">
        <f ca="1">ROUND(F17*(F43+INDIRECT("'数据-取费表'!S"&amp;$G$1)),0)</f>
        <v>249940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65609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4820718</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96414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32919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169641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-32919</v>
      </c>
      <c r="K25" s="1095" t="s">
        <v>753</v>
      </c>
      <c r="L25" s="1096"/>
      <c r="M25" s="1097"/>
    </row>
    <row r="26" spans="1:37" ht="18" customHeight="1">
      <c r="A26" s="982" t="s">
        <v>397</v>
      </c>
      <c r="B26" s="302" t="s">
        <v>754</v>
      </c>
      <c r="C26" s="21">
        <f ca="1">ROUND((C19+C20)*F26,0)</f>
        <v>983426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6583730</v>
      </c>
      <c r="D29" s="1092"/>
      <c r="E29" s="1090"/>
      <c r="F29" s="1093"/>
      <c r="G29" s="1396"/>
      <c r="H29" s="334" t="s">
        <v>396</v>
      </c>
      <c r="I29" s="335" t="s">
        <v>768</v>
      </c>
      <c r="J29" s="336">
        <f ca="1">ROUND(J26/(1+F40)^F41,0)</f>
        <v>0</v>
      </c>
      <c r="K29" s="337" t="s">
        <v>769</v>
      </c>
      <c r="L29" s="338"/>
      <c r="M29" s="339">
        <f ca="1">INDIRECT("'数据-取费表'!k"&amp;$G$1)</f>
        <v>1249.6999999999998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359820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309654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98526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211128</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32919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7999</v>
      </c>
      <c r="D37" s="1344" t="s">
        <v>743</v>
      </c>
      <c r="E37" s="302" t="s">
        <v>744</v>
      </c>
      <c r="F37" s="330">
        <f ca="1">INDIRECT("'数据-取费表'!Al"&amp;$G$1)</f>
        <v>1.5E-3</v>
      </c>
      <c r="G37" s="1384"/>
      <c r="H37" s="2700"/>
      <c r="I37" s="1398">
        <f ca="1">C39/C5</f>
        <v>0.80546884376632044</v>
      </c>
      <c r="J37" s="1399"/>
      <c r="K37" s="2544"/>
      <c r="L37" s="2700"/>
      <c r="M37" s="2700"/>
    </row>
    <row r="38" spans="1:18" ht="18" customHeight="1" thickBot="1">
      <c r="A38" s="1089" t="s">
        <v>684</v>
      </c>
      <c r="B38" s="1090" t="s">
        <v>728</v>
      </c>
      <c r="C38" s="1091">
        <f ca="1">ROUND(C5*F38,0)</f>
        <v>9248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1489858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22564813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18056</v>
      </c>
      <c r="D43" s="337" t="s">
        <v>777</v>
      </c>
      <c r="E43" s="338" t="s">
        <v>778</v>
      </c>
      <c r="F43" s="339">
        <f ca="1">INDIRECT("'数据-取费表'!k"&amp;$G$1)</f>
        <v>1249.6999999999998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-2306.7091</v>
      </c>
      <c r="D45" s="3432" t="s">
        <v>3359</v>
      </c>
      <c r="E45" s="1400"/>
      <c r="F45" s="1400"/>
      <c r="O45" s="1403" t="s">
        <v>808</v>
      </c>
      <c r="P45" s="1461"/>
      <c r="Q45" s="1461"/>
      <c r="R45" s="1461"/>
    </row>
    <row r="46" spans="1:18" s="1384" customFormat="1" ht="13.5" thickBot="1">
      <c r="A46" s="1404" t="s">
        <v>809</v>
      </c>
      <c r="C46" s="1405">
        <f ca="1">ROUND(C45,0)</f>
        <v>-2307</v>
      </c>
      <c r="D46" s="1406" t="str">
        <f>C2</f>
        <v>万元</v>
      </c>
      <c r="I46" s="1407" t="s">
        <v>810</v>
      </c>
      <c r="J46" s="1408"/>
      <c r="K46" s="1409"/>
      <c r="L46" s="1410">
        <f ca="1">IF(M47="住宅",0,IF(L48&gt;J51,L60,J60))</f>
        <v>523158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22564813</v>
      </c>
      <c r="R47" s="1420" t="s">
        <v>818</v>
      </c>
    </row>
    <row r="48" spans="1:18" s="1384" customFormat="1" ht="28.5" thickBot="1">
      <c r="A48" s="1110" t="s">
        <v>438</v>
      </c>
      <c r="B48" s="300" t="s">
        <v>692</v>
      </c>
      <c r="C48" s="1359">
        <f ca="1">C49+C53+C55</f>
        <v>0</v>
      </c>
      <c r="D48" s="1112"/>
      <c r="E48" s="1113"/>
      <c r="F48" s="962"/>
      <c r="G48" s="722"/>
      <c r="H48" s="723"/>
      <c r="I48" s="1421" t="s">
        <v>819</v>
      </c>
      <c r="J48" s="1422" t="s">
        <v>3418</v>
      </c>
      <c r="K48" s="1423" t="s">
        <v>820</v>
      </c>
      <c r="L48" s="1424">
        <f ca="1">INDIRECT("'数据-取费表'!f"&amp;$G$1)</f>
        <v>21</v>
      </c>
      <c r="O48" s="1418" t="s">
        <v>404</v>
      </c>
      <c r="P48" s="1419" t="s">
        <v>821</v>
      </c>
      <c r="Q48" s="1420">
        <f ca="1">J60</f>
        <v>523158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6583730</v>
      </c>
      <c r="R49" s="1420" t="s">
        <v>818</v>
      </c>
    </row>
    <row r="50" spans="1:18" s="1384" customFormat="1" ht="13.5" thickBot="1">
      <c r="A50" s="976"/>
      <c r="B50" s="979"/>
      <c r="C50" s="980"/>
      <c r="D50" s="953"/>
      <c r="E50" s="1056" t="s">
        <v>697</v>
      </c>
      <c r="F50" s="1057">
        <f ca="1">F7</f>
        <v>1249.6999999999998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19371895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40" t="s">
        <v>837</v>
      </c>
      <c r="L53" s="3641"/>
      <c r="O53" s="1418" t="s">
        <v>409</v>
      </c>
      <c r="P53" s="1419" t="s">
        <v>838</v>
      </c>
      <c r="Q53" s="1420">
        <f ca="1">Q47+Q48</f>
        <v>23087971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5332821</v>
      </c>
      <c r="D56" s="1447"/>
      <c r="E56" s="1448"/>
      <c r="F56" s="1440"/>
      <c r="I56" s="1449" t="s">
        <v>842</v>
      </c>
      <c r="J56" s="1450" t="s">
        <v>3384</v>
      </c>
      <c r="K56" s="1421" t="s">
        <v>843</v>
      </c>
      <c r="L56" s="1424" t="str">
        <f ca="1">IF(L48&lt;J51,"——",L48-J51)</f>
        <v>——</v>
      </c>
      <c r="O56" s="1418" t="s">
        <v>403</v>
      </c>
      <c r="P56" s="1419" t="s">
        <v>817</v>
      </c>
      <c r="Q56" s="1420">
        <f ca="1">C40+J29</f>
        <v>22564813</v>
      </c>
      <c r="R56" s="1420" t="s">
        <v>818</v>
      </c>
    </row>
    <row r="57" spans="1:18" s="1384" customFormat="1" ht="24.75" thickBot="1">
      <c r="A57" s="1451"/>
      <c r="B57" s="950" t="s">
        <v>767</v>
      </c>
      <c r="C57" s="238">
        <f ca="1">C29</f>
        <v>6583730</v>
      </c>
      <c r="D57" s="1452"/>
      <c r="E57" s="1453"/>
      <c r="F57" s="1454"/>
      <c r="I57" s="1455" t="s">
        <v>844</v>
      </c>
      <c r="J57" s="1456">
        <f ca="1">IF(OR(M47="住宅",J51&lt;L48,J56="是"),"——",J51-L48)</f>
        <v>24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40918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2633492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523158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22564813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32919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7999</v>
      </c>
      <c r="D65" s="964" t="s">
        <v>743</v>
      </c>
      <c r="E65" s="950" t="s">
        <v>744</v>
      </c>
      <c r="F65" s="330">
        <f t="shared" ca="1" si="0"/>
        <v>1.5E-3</v>
      </c>
      <c r="I65" s="1462" t="s">
        <v>867</v>
      </c>
      <c r="J65" s="1463">
        <v>40</v>
      </c>
      <c r="K65" s="1463">
        <v>30</v>
      </c>
      <c r="L65" s="1463">
        <v>50</v>
      </c>
      <c r="M65" s="1465">
        <v>0.02</v>
      </c>
      <c r="O65" s="1418" t="s">
        <v>403</v>
      </c>
      <c r="P65" s="1419" t="s">
        <v>868</v>
      </c>
      <c r="Q65" s="1420">
        <f ca="1">C40+J29</f>
        <v>22564813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-40918</v>
      </c>
      <c r="D67" s="963" t="s">
        <v>753</v>
      </c>
      <c r="E67" s="968"/>
      <c r="F67" s="969"/>
      <c r="O67" s="1428" t="s">
        <v>405</v>
      </c>
      <c r="P67" s="1419" t="s">
        <v>850</v>
      </c>
      <c r="Q67" s="1466">
        <f ca="1">L51</f>
        <v>19371895</v>
      </c>
      <c r="R67" s="1420" t="s">
        <v>870</v>
      </c>
    </row>
    <row r="68" spans="1:18" s="1384" customFormat="1" ht="16.5" thickBot="1">
      <c r="A68" s="947" t="s">
        <v>395</v>
      </c>
      <c r="B68" s="948" t="s">
        <v>774</v>
      </c>
      <c r="C68" s="301">
        <f ca="1">ROUND(C67*(1-((1+F70)/(1+F68))^F69)/(F68-F70),0)</f>
        <v>-502278</v>
      </c>
      <c r="D68" s="965" t="s">
        <v>758</v>
      </c>
      <c r="E68" s="950" t="s">
        <v>759</v>
      </c>
      <c r="F68" s="312">
        <f ca="1">F40</f>
        <v>5.5E-2</v>
      </c>
      <c r="O68" s="1428" t="s">
        <v>406</v>
      </c>
      <c r="P68" s="1467" t="s">
        <v>871</v>
      </c>
      <c r="Q68" s="1420">
        <f ca="1">ROUND(Q69-Q70*Q71,0)</f>
        <v>1089896</v>
      </c>
      <c r="R68" s="1420" t="s">
        <v>414</v>
      </c>
    </row>
    <row r="69" spans="1:18" s="1384" customFormat="1" ht="13.5" thickBot="1">
      <c r="A69" s="951"/>
      <c r="B69" s="952"/>
      <c r="C69" s="306"/>
      <c r="D69" s="970" t="s">
        <v>762</v>
      </c>
      <c r="E69" s="950" t="s">
        <v>763</v>
      </c>
      <c r="F69" s="333">
        <f ca="1">F41</f>
        <v>21</v>
      </c>
      <c r="O69" s="1428" t="s">
        <v>411</v>
      </c>
      <c r="P69" s="1467" t="s">
        <v>872</v>
      </c>
      <c r="Q69" s="1420">
        <f ca="1">C39</f>
        <v>1489858</v>
      </c>
      <c r="R69" s="1420" t="s">
        <v>818</v>
      </c>
    </row>
    <row r="70" spans="1:18" s="1384" customFormat="1" ht="13.5" thickBot="1">
      <c r="A70" s="954"/>
      <c r="B70" s="955"/>
      <c r="C70" s="310"/>
      <c r="D70" s="966"/>
      <c r="E70" s="950" t="s">
        <v>766</v>
      </c>
      <c r="F70" s="1054"/>
      <c r="O70" s="1428" t="s">
        <v>412</v>
      </c>
      <c r="P70" s="1467" t="s">
        <v>873</v>
      </c>
      <c r="Q70" s="1420">
        <f ca="1">C13</f>
        <v>5332821</v>
      </c>
      <c r="R70" s="1420" t="s">
        <v>818</v>
      </c>
    </row>
    <row r="71" spans="1:18" s="1384" customFormat="1" ht="13.5" thickBot="1">
      <c r="A71" s="971" t="s">
        <v>396</v>
      </c>
      <c r="B71" s="972" t="s">
        <v>776</v>
      </c>
      <c r="C71" s="336">
        <f ca="1">ROUND(C68/F71,0)</f>
        <v>-402</v>
      </c>
      <c r="D71" s="973" t="s">
        <v>777</v>
      </c>
      <c r="E71" s="974" t="s">
        <v>778</v>
      </c>
      <c r="F71" s="339">
        <f ca="1">F43</f>
        <v>1249.6999999999998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399962</v>
      </c>
      <c r="D75" s="1384"/>
      <c r="E75" s="1384"/>
      <c r="F75" s="1384"/>
      <c r="K75" s="1402"/>
      <c r="L75" s="1384"/>
      <c r="O75" s="1418" t="s">
        <v>409</v>
      </c>
      <c r="P75" s="1419" t="s">
        <v>838</v>
      </c>
      <c r="Q75" s="1420">
        <f ca="1">Q65+Q66</f>
        <v>22564813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0.73199999999999998</v>
      </c>
    </row>
    <row r="80" spans="1:18">
      <c r="B80" s="340" t="s">
        <v>800</v>
      </c>
      <c r="C80" s="274">
        <f ca="1">ROUND(C75/C39,3)</f>
        <v>0.26800000000000002</v>
      </c>
    </row>
    <row r="81" spans="2:3">
      <c r="B81" s="270" t="s">
        <v>801</v>
      </c>
      <c r="C81" s="238"/>
    </row>
    <row r="82" spans="2:3">
      <c r="B82" s="273" t="s">
        <v>802</v>
      </c>
      <c r="C82" s="275">
        <f ca="1">1-C83</f>
        <v>0.76400000000000001</v>
      </c>
    </row>
    <row r="83" spans="2:3">
      <c r="B83" s="273" t="s">
        <v>803</v>
      </c>
      <c r="C83" s="274">
        <f ca="1">ROUND(C13/C40,3)</f>
        <v>0.23599999999999999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715" t="s">
        <v>2321</v>
      </c>
      <c r="K2" s="371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7" t="s">
        <v>2331</v>
      </c>
      <c r="K3" s="371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7" t="s">
        <v>2333</v>
      </c>
      <c r="K4" s="371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9" t="s">
        <v>2337</v>
      </c>
      <c r="B6" s="3720"/>
      <c r="C6" s="3721"/>
      <c r="D6" s="2870"/>
      <c r="E6" s="2871"/>
      <c r="F6" s="2872"/>
      <c r="G6" s="2873"/>
      <c r="H6" s="2848"/>
      <c r="I6" s="2849"/>
      <c r="J6" s="3722">
        <v>1</v>
      </c>
      <c r="K6" s="372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22"/>
      <c r="K7" s="372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6" t="s">
        <v>2351</v>
      </c>
      <c r="C8" s="3727"/>
      <c r="D8" s="2889" t="s">
        <v>2352</v>
      </c>
      <c r="E8" s="2890" t="s">
        <v>2353</v>
      </c>
      <c r="F8" s="2891" t="s">
        <v>2354</v>
      </c>
      <c r="G8" s="2892"/>
      <c r="H8" s="2848"/>
      <c r="I8" s="2849"/>
      <c r="J8" s="3722"/>
      <c r="K8" s="372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6" t="s">
        <v>2357</v>
      </c>
      <c r="C9" s="3727"/>
      <c r="D9" s="2889">
        <f>ROUND(D6*E9,0)</f>
        <v>0</v>
      </c>
      <c r="E9" s="2893"/>
      <c r="F9" s="2894" t="s">
        <v>2358</v>
      </c>
      <c r="G9" s="2873"/>
      <c r="H9" s="2848"/>
      <c r="I9" s="2849"/>
      <c r="J9" s="3722"/>
      <c r="K9" s="3724"/>
      <c r="L9" s="2883" t="s">
        <v>2359</v>
      </c>
      <c r="M9" s="2884"/>
      <c r="N9" s="2860"/>
      <c r="O9" s="2885"/>
      <c r="P9" s="2885"/>
      <c r="Q9" s="2886">
        <v>365</v>
      </c>
      <c r="R9" s="2887">
        <f t="shared" si="0"/>
        <v>0</v>
      </c>
      <c r="S9" s="2841"/>
      <c r="T9" s="2841"/>
      <c r="U9" s="2841"/>
      <c r="V9" s="2849"/>
    </row>
    <row r="10" spans="1:22" s="2853" customFormat="1" ht="13.15" customHeight="1">
      <c r="A10" s="2888">
        <v>2</v>
      </c>
      <c r="B10" s="3726" t="s">
        <v>2360</v>
      </c>
      <c r="C10" s="3727"/>
      <c r="D10" s="2889">
        <f>ROUND(D6*E10,0)</f>
        <v>0</v>
      </c>
      <c r="E10" s="2893"/>
      <c r="F10" s="2894" t="s">
        <v>2361</v>
      </c>
      <c r="G10" s="2873"/>
      <c r="H10" s="2848"/>
      <c r="I10" s="2849"/>
      <c r="J10" s="3722"/>
      <c r="K10" s="3724"/>
      <c r="L10" s="2883" t="s">
        <v>2362</v>
      </c>
      <c r="M10" s="2884"/>
      <c r="N10" s="2860"/>
      <c r="O10" s="2885"/>
      <c r="P10" s="2885"/>
      <c r="Q10" s="2886">
        <v>365</v>
      </c>
      <c r="R10" s="2887">
        <f t="shared" si="0"/>
        <v>0</v>
      </c>
      <c r="S10" s="2841"/>
      <c r="T10" s="2841"/>
      <c r="U10" s="2841"/>
      <c r="V10" s="2849"/>
    </row>
    <row r="11" spans="1:22" s="2853" customFormat="1" ht="13.15" customHeight="1">
      <c r="A11" s="2888">
        <v>3</v>
      </c>
      <c r="B11" s="3726" t="s">
        <v>2363</v>
      </c>
      <c r="C11" s="3727"/>
      <c r="D11" s="2889">
        <f>D12+D14+D15+D16</f>
        <v>0</v>
      </c>
      <c r="E11" s="2895" t="e">
        <f>D11/D6</f>
        <v>#DIV/0!</v>
      </c>
      <c r="F11" s="2891"/>
      <c r="G11" s="2892"/>
      <c r="H11" s="2848"/>
      <c r="I11" s="2849"/>
      <c r="J11" s="3722"/>
      <c r="K11" s="372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8" t="s">
        <v>2366</v>
      </c>
      <c r="C12" s="3729"/>
      <c r="D12" s="2897">
        <f>ROUND(D13*1.2%*(1-30%),0)</f>
        <v>0</v>
      </c>
      <c r="E12" s="2898">
        <v>1.2E-2</v>
      </c>
      <c r="F12" s="2891" t="s">
        <v>2367</v>
      </c>
      <c r="G12" s="2892"/>
      <c r="H12" s="2848"/>
      <c r="I12" s="2849"/>
      <c r="J12" s="3722"/>
      <c r="K12" s="372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22"/>
      <c r="K13" s="372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8" t="s">
        <v>2372</v>
      </c>
      <c r="C14" s="3729"/>
      <c r="D14" s="2897">
        <f>ROUND(E14*B5/10000,0)</f>
        <v>0</v>
      </c>
      <c r="E14" s="2886"/>
      <c r="F14" s="2891" t="s">
        <v>2373</v>
      </c>
      <c r="G14" s="2892"/>
      <c r="H14" s="2848"/>
      <c r="I14" s="2849"/>
      <c r="J14" s="3722"/>
      <c r="K14" s="372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8" t="s">
        <v>2376</v>
      </c>
      <c r="C15" s="3729"/>
      <c r="D15" s="2897">
        <f>ROUND(D6*E15,0)</f>
        <v>0</v>
      </c>
      <c r="E15" s="2898">
        <v>5.5E-2</v>
      </c>
      <c r="F15" s="2891" t="s">
        <v>2377</v>
      </c>
      <c r="G15" s="2873"/>
      <c r="H15" s="2848"/>
      <c r="I15" s="2849"/>
      <c r="J15" s="3722">
        <v>2</v>
      </c>
      <c r="K15" s="372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8" t="s">
        <v>2385</v>
      </c>
      <c r="C16" s="3729"/>
      <c r="D16" s="2908">
        <f>D6*E16</f>
        <v>0</v>
      </c>
      <c r="E16" s="2909"/>
      <c r="F16" s="2894" t="s">
        <v>2386</v>
      </c>
      <c r="G16" s="2873"/>
      <c r="H16" s="2848"/>
      <c r="I16" s="2849"/>
      <c r="J16" s="3722"/>
      <c r="K16" s="372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30" t="s">
        <v>2388</v>
      </c>
      <c r="C17" s="3731"/>
      <c r="D17" s="2911">
        <f>ROUND(D6*E17,0)</f>
        <v>0</v>
      </c>
      <c r="E17" s="2912"/>
      <c r="F17" s="2913" t="s">
        <v>2389</v>
      </c>
      <c r="G17" s="2873"/>
      <c r="H17" s="2848"/>
      <c r="I17" s="2849"/>
      <c r="J17" s="3722"/>
      <c r="K17" s="372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22"/>
      <c r="K18" s="372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22"/>
      <c r="K19" s="372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2">
        <v>3</v>
      </c>
      <c r="K20" s="372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22"/>
      <c r="K21" s="372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22"/>
      <c r="K22" s="372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22"/>
      <c r="K23" s="372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22"/>
      <c r="K24" s="372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3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3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15" t="s">
        <v>2321</v>
      </c>
      <c r="K32" s="371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7" t="s">
        <v>2331</v>
      </c>
      <c r="K33" s="371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7" t="s">
        <v>2333</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22">
        <v>1</v>
      </c>
      <c r="K36" s="372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22"/>
      <c r="K37" s="372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2"/>
      <c r="K38" s="372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22"/>
      <c r="K39" s="372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22"/>
      <c r="K40" s="372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3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2308.7970999999998</v>
      </c>
      <c r="C2" s="1872" t="s">
        <v>1651</v>
      </c>
      <c r="D2" s="1873" t="s">
        <v>1652</v>
      </c>
      <c r="E2" s="2607">
        <f>SUM(E6:E13)</f>
        <v>1249.6999999999998</v>
      </c>
      <c r="F2" s="2707"/>
      <c r="G2" s="1489"/>
      <c r="H2" s="1489"/>
      <c r="I2" s="1489"/>
      <c r="J2" s="1489"/>
      <c r="K2" s="1489"/>
      <c r="L2" s="1489"/>
      <c r="M2" s="1489"/>
      <c r="N2" s="1489"/>
      <c r="O2" s="1489"/>
      <c r="P2" s="1489"/>
      <c r="Q2" s="1489"/>
      <c r="R2" s="1489"/>
      <c r="S2" s="1489"/>
    </row>
    <row r="3" spans="1:22" ht="15.75">
      <c r="A3" s="1870" t="s">
        <v>686</v>
      </c>
      <c r="B3" s="2601">
        <f ca="1">ROUND(B2*10000/E2,0)</f>
        <v>18475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2308.7970999999998</v>
      </c>
      <c r="C6" s="1872" t="s">
        <v>1651</v>
      </c>
      <c r="D6" s="2709"/>
      <c r="E6" s="2606">
        <f>IF(OR(A6=0,F6="否"),0,'数据-取费表'!K6+'数据-取费表'!S6)</f>
        <v>1249.6999999999998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1249.6999999999998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739" t="s">
        <v>1672</v>
      </c>
      <c r="Q4" s="3740"/>
      <c r="R4" s="3737" t="s">
        <v>1668</v>
      </c>
      <c r="S4" s="3738"/>
      <c r="T4" s="3737" t="s">
        <v>1669</v>
      </c>
      <c r="U4" s="3738"/>
      <c r="V4" s="3698" t="s">
        <v>1670</v>
      </c>
      <c r="W4" s="3698"/>
      <c r="X4" s="1355"/>
      <c r="Y4" s="3737" t="s">
        <v>1672</v>
      </c>
      <c r="Z4" s="3738"/>
      <c r="AA4" s="3736" t="s">
        <v>1668</v>
      </c>
      <c r="AB4" s="3736" t="s">
        <v>1669</v>
      </c>
      <c r="AC4" s="3736" t="s">
        <v>1670</v>
      </c>
    </row>
    <row r="5" spans="1:29" ht="15">
      <c r="A5" s="358"/>
      <c r="B5" s="359"/>
      <c r="C5" s="3675" t="s">
        <v>1673</v>
      </c>
      <c r="D5" s="3676"/>
      <c r="E5" s="3673" t="s">
        <v>1674</v>
      </c>
      <c r="F5" s="3674"/>
      <c r="G5" s="3675" t="s">
        <v>1675</v>
      </c>
      <c r="H5" s="3676"/>
      <c r="I5" s="3675" t="s">
        <v>1676</v>
      </c>
      <c r="J5" s="3676"/>
      <c r="K5" s="1890"/>
      <c r="L5" s="2715"/>
      <c r="M5" s="2716"/>
      <c r="N5" s="2716"/>
      <c r="O5" s="2716"/>
      <c r="P5" s="3741"/>
      <c r="Q5" s="3692"/>
      <c r="R5" s="3671"/>
      <c r="S5" s="3672"/>
      <c r="T5" s="3671"/>
      <c r="U5" s="3672"/>
      <c r="V5" s="3698"/>
      <c r="W5" s="3698"/>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742"/>
      <c r="Q6" s="3694"/>
      <c r="R6" s="3671"/>
      <c r="S6" s="3672"/>
      <c r="T6" s="3695"/>
      <c r="U6" s="3696"/>
      <c r="V6" s="3698"/>
      <c r="W6" s="3698"/>
      <c r="X6" s="1355"/>
      <c r="Y6" s="3695"/>
      <c r="Z6" s="3696"/>
      <c r="AA6" s="3666"/>
      <c r="AB6" s="3666"/>
      <c r="AC6" s="3666"/>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700"/>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1"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2"/>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2"/>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2"/>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2"/>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2"/>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2"/>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D21/F21</f>
        <v>1</v>
      </c>
      <c r="AB21" s="1353">
        <f>D21/H21</f>
        <v>1</v>
      </c>
      <c r="AC21" s="1353">
        <f>D21/J21</f>
        <v>1</v>
      </c>
    </row>
    <row r="22" spans="1:29" ht="15">
      <c r="A22" s="379"/>
      <c r="B22" s="1131"/>
      <c r="C22" s="1901"/>
      <c r="D22" s="399"/>
      <c r="E22" s="398"/>
      <c r="F22" s="399"/>
      <c r="G22" s="1904"/>
      <c r="H22" s="399"/>
      <c r="I22" s="398"/>
      <c r="J22" s="399"/>
      <c r="K22" s="1905"/>
      <c r="L22" s="2722"/>
      <c r="M22" s="2716"/>
      <c r="N22" s="2716"/>
      <c r="O22" s="2716"/>
      <c r="P22" s="3702"/>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2"/>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2"/>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2"/>
      <c r="Q25" s="1352" t="str">
        <f t="shared" ref="Q25:Q46" si="8">B25</f>
        <v>楼层-1</v>
      </c>
      <c r="R25" s="705" t="s">
        <v>18</v>
      </c>
      <c r="S25" s="706">
        <f t="shared" ref="S25:S46" si="9">F25</f>
        <v>100</v>
      </c>
      <c r="T25" s="705" t="s">
        <v>18</v>
      </c>
      <c r="U25" s="706">
        <f t="shared" ref="U25:U46" si="10">H25</f>
        <v>100</v>
      </c>
      <c r="V25" s="705" t="s">
        <v>18</v>
      </c>
      <c r="W25" s="706">
        <f t="shared" ref="W25:W46" si="11">J25</f>
        <v>100</v>
      </c>
      <c r="X25" s="1355"/>
      <c r="Y25" s="3704"/>
      <c r="Z25" s="1356" t="str">
        <f>Q25</f>
        <v>楼层-1</v>
      </c>
      <c r="AA25" s="1353">
        <f t="shared" ref="AA25:AA46" si="12">D25/F25</f>
        <v>1</v>
      </c>
      <c r="AB25" s="1353">
        <f t="shared" ref="AB25:AB46" si="13">D25/H25</f>
        <v>1</v>
      </c>
      <c r="AC25" s="1353">
        <f t="shared" ref="AC25:AC46" si="14">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2"/>
      <c r="Q26" s="1352" t="str">
        <f t="shared" si="8"/>
        <v>朝向</v>
      </c>
      <c r="R26" s="705" t="s">
        <v>18</v>
      </c>
      <c r="S26" s="706">
        <f t="shared" si="9"/>
        <v>100</v>
      </c>
      <c r="T26" s="705" t="s">
        <v>18</v>
      </c>
      <c r="U26" s="706">
        <f t="shared" si="10"/>
        <v>100</v>
      </c>
      <c r="V26" s="705" t="s">
        <v>18</v>
      </c>
      <c r="W26" s="706">
        <f t="shared" si="11"/>
        <v>100</v>
      </c>
      <c r="X26" s="1355"/>
      <c r="Y26" s="3704"/>
      <c r="Z26" s="1356" t="str">
        <f>Q26</f>
        <v>朝向</v>
      </c>
      <c r="AA26" s="1353">
        <f t="shared" si="12"/>
        <v>1</v>
      </c>
      <c r="AB26" s="1353">
        <f t="shared" si="13"/>
        <v>1</v>
      </c>
      <c r="AC26" s="1353">
        <f t="shared" si="14"/>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2"/>
      <c r="Q27" s="1343">
        <f t="shared" si="8"/>
        <v>111</v>
      </c>
      <c r="R27" s="701" t="s">
        <v>18</v>
      </c>
      <c r="S27" s="702">
        <f t="shared" si="9"/>
        <v>100</v>
      </c>
      <c r="T27" s="701" t="s">
        <v>18</v>
      </c>
      <c r="U27" s="702">
        <f t="shared" si="10"/>
        <v>100</v>
      </c>
      <c r="V27" s="701" t="s">
        <v>18</v>
      </c>
      <c r="W27" s="702">
        <f t="shared" si="11"/>
        <v>100</v>
      </c>
      <c r="X27" s="703"/>
      <c r="Y27" s="3704"/>
      <c r="Z27" s="52">
        <f>Q27</f>
        <v>111</v>
      </c>
      <c r="AA27" s="1353">
        <f t="shared" si="12"/>
        <v>1</v>
      </c>
      <c r="AB27" s="1353">
        <f t="shared" si="13"/>
        <v>1</v>
      </c>
      <c r="AC27" s="1353">
        <f t="shared" si="14"/>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2"/>
      <c r="Q28" s="1352">
        <f t="shared" si="8"/>
        <v>111</v>
      </c>
      <c r="R28" s="705" t="s">
        <v>18</v>
      </c>
      <c r="S28" s="706">
        <f t="shared" si="9"/>
        <v>100</v>
      </c>
      <c r="T28" s="705" t="s">
        <v>18</v>
      </c>
      <c r="U28" s="706">
        <f t="shared" si="10"/>
        <v>100</v>
      </c>
      <c r="V28" s="705" t="s">
        <v>18</v>
      </c>
      <c r="W28" s="706">
        <f t="shared" si="11"/>
        <v>100</v>
      </c>
      <c r="X28" s="1355"/>
      <c r="Y28" s="3704"/>
      <c r="Z28" s="1356">
        <f t="shared" ref="Z28:Z46" si="15">Q28</f>
        <v>111</v>
      </c>
      <c r="AA28" s="1353">
        <f t="shared" si="12"/>
        <v>1</v>
      </c>
      <c r="AB28" s="1353">
        <f t="shared" si="13"/>
        <v>1</v>
      </c>
      <c r="AC28" s="1353">
        <f t="shared" si="14"/>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2"/>
      <c r="Q29" s="1352">
        <f t="shared" si="8"/>
        <v>111</v>
      </c>
      <c r="R29" s="705" t="s">
        <v>18</v>
      </c>
      <c r="S29" s="706">
        <f t="shared" si="9"/>
        <v>100</v>
      </c>
      <c r="T29" s="705" t="s">
        <v>18</v>
      </c>
      <c r="U29" s="706">
        <f t="shared" si="10"/>
        <v>100</v>
      </c>
      <c r="V29" s="705" t="s">
        <v>18</v>
      </c>
      <c r="W29" s="706">
        <f t="shared" si="11"/>
        <v>100</v>
      </c>
      <c r="X29" s="1355"/>
      <c r="Y29" s="3704"/>
      <c r="Z29" s="1356">
        <f t="shared" si="15"/>
        <v>111</v>
      </c>
      <c r="AA29" s="1353">
        <f t="shared" si="12"/>
        <v>1</v>
      </c>
      <c r="AB29" s="1353">
        <f t="shared" si="13"/>
        <v>1</v>
      </c>
      <c r="AC29" s="1353">
        <f t="shared" si="14"/>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2"/>
      <c r="Q30" s="1352">
        <f t="shared" si="8"/>
        <v>111</v>
      </c>
      <c r="R30" s="705" t="s">
        <v>18</v>
      </c>
      <c r="S30" s="706">
        <f t="shared" si="9"/>
        <v>100</v>
      </c>
      <c r="T30" s="705" t="s">
        <v>18</v>
      </c>
      <c r="U30" s="706">
        <f t="shared" si="10"/>
        <v>100</v>
      </c>
      <c r="V30" s="705" t="s">
        <v>18</v>
      </c>
      <c r="W30" s="706">
        <f t="shared" si="11"/>
        <v>100</v>
      </c>
      <c r="X30" s="1355"/>
      <c r="Y30" s="3704"/>
      <c r="Z30" s="1356">
        <f t="shared" si="15"/>
        <v>111</v>
      </c>
      <c r="AA30" s="1353">
        <f t="shared" si="12"/>
        <v>1</v>
      </c>
      <c r="AB30" s="1353">
        <f t="shared" si="13"/>
        <v>1</v>
      </c>
      <c r="AC30" s="1353">
        <f t="shared" si="14"/>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2"/>
      <c r="Q31" s="1352">
        <f t="shared" si="8"/>
        <v>111</v>
      </c>
      <c r="R31" s="705" t="s">
        <v>18</v>
      </c>
      <c r="S31" s="706">
        <f t="shared" si="9"/>
        <v>100</v>
      </c>
      <c r="T31" s="705" t="s">
        <v>18</v>
      </c>
      <c r="U31" s="706">
        <f t="shared" si="10"/>
        <v>100</v>
      </c>
      <c r="V31" s="705" t="s">
        <v>18</v>
      </c>
      <c r="W31" s="706">
        <f t="shared" si="11"/>
        <v>100</v>
      </c>
      <c r="X31" s="1355"/>
      <c r="Y31" s="3704"/>
      <c r="Z31" s="1356">
        <f t="shared" si="15"/>
        <v>111</v>
      </c>
      <c r="AA31" s="1353">
        <f t="shared" si="12"/>
        <v>1</v>
      </c>
      <c r="AB31" s="1353">
        <f t="shared" si="13"/>
        <v>1</v>
      </c>
      <c r="AC31" s="1353">
        <f t="shared" si="14"/>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8"/>
        <v>建筑类型</v>
      </c>
      <c r="R32" s="705" t="s">
        <v>18</v>
      </c>
      <c r="S32" s="706">
        <f t="shared" si="9"/>
        <v>100</v>
      </c>
      <c r="T32" s="705" t="s">
        <v>18</v>
      </c>
      <c r="U32" s="706">
        <f t="shared" si="10"/>
        <v>100</v>
      </c>
      <c r="V32" s="705" t="s">
        <v>18</v>
      </c>
      <c r="W32" s="706">
        <f t="shared" si="11"/>
        <v>100</v>
      </c>
      <c r="X32" s="1355"/>
      <c r="Y32" s="3708" t="s">
        <v>1696</v>
      </c>
      <c r="Z32" s="1356" t="str">
        <f t="shared" si="15"/>
        <v>建筑类型</v>
      </c>
      <c r="AA32" s="1353">
        <f t="shared" si="12"/>
        <v>1</v>
      </c>
      <c r="AB32" s="1353">
        <f t="shared" si="13"/>
        <v>1</v>
      </c>
      <c r="AC32" s="1353">
        <f t="shared" si="14"/>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8"/>
        <v>项目建筑规模</v>
      </c>
      <c r="R33" s="708" t="s">
        <v>18</v>
      </c>
      <c r="S33" s="709" t="e">
        <f t="shared" si="9"/>
        <v>#N/A</v>
      </c>
      <c r="T33" s="708" t="s">
        <v>18</v>
      </c>
      <c r="U33" s="709" t="e">
        <f t="shared" si="10"/>
        <v>#N/A</v>
      </c>
      <c r="V33" s="708" t="s">
        <v>18</v>
      </c>
      <c r="W33" s="709" t="e">
        <f t="shared" si="11"/>
        <v>#N/A</v>
      </c>
      <c r="X33" s="710"/>
      <c r="Y33" s="3708"/>
      <c r="Z33" s="711" t="str">
        <f t="shared" si="15"/>
        <v>项目建筑规模</v>
      </c>
      <c r="AA33" s="1353" t="e">
        <f t="shared" si="12"/>
        <v>#N/A</v>
      </c>
      <c r="AB33" s="1353" t="e">
        <f t="shared" si="13"/>
        <v>#N/A</v>
      </c>
      <c r="AC33" s="1353" t="e">
        <f t="shared" si="14"/>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8"/>
        <v>建筑结构</v>
      </c>
      <c r="R34" s="705" t="s">
        <v>18</v>
      </c>
      <c r="S34" s="706">
        <f t="shared" si="9"/>
        <v>100</v>
      </c>
      <c r="T34" s="705" t="s">
        <v>18</v>
      </c>
      <c r="U34" s="706">
        <f t="shared" si="10"/>
        <v>100</v>
      </c>
      <c r="V34" s="705" t="s">
        <v>18</v>
      </c>
      <c r="W34" s="706">
        <f t="shared" si="11"/>
        <v>100</v>
      </c>
      <c r="X34" s="1355"/>
      <c r="Y34" s="3708"/>
      <c r="Z34" s="1356" t="str">
        <f t="shared" si="15"/>
        <v>建筑结构</v>
      </c>
      <c r="AA34" s="1353">
        <f t="shared" si="12"/>
        <v>1</v>
      </c>
      <c r="AB34" s="1353">
        <f t="shared" si="13"/>
        <v>1</v>
      </c>
      <c r="AC34" s="1353">
        <f t="shared" si="14"/>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8"/>
        <v>建筑品质</v>
      </c>
      <c r="R35" s="705" t="s">
        <v>18</v>
      </c>
      <c r="S35" s="706">
        <f t="shared" si="9"/>
        <v>100</v>
      </c>
      <c r="T35" s="705" t="s">
        <v>18</v>
      </c>
      <c r="U35" s="706">
        <f t="shared" si="10"/>
        <v>100</v>
      </c>
      <c r="V35" s="705" t="s">
        <v>18</v>
      </c>
      <c r="W35" s="706">
        <f t="shared" si="11"/>
        <v>100</v>
      </c>
      <c r="X35" s="1355"/>
      <c r="Y35" s="3708"/>
      <c r="Z35" s="1356" t="str">
        <f t="shared" si="15"/>
        <v>建筑品质</v>
      </c>
      <c r="AA35" s="1353">
        <f t="shared" si="12"/>
        <v>1</v>
      </c>
      <c r="AB35" s="1353">
        <f t="shared" si="13"/>
        <v>1</v>
      </c>
      <c r="AC35" s="1353">
        <f t="shared" si="14"/>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8"/>
        <v>公共部分装修</v>
      </c>
      <c r="R36" s="705" t="s">
        <v>18</v>
      </c>
      <c r="S36" s="706">
        <f t="shared" si="9"/>
        <v>100</v>
      </c>
      <c r="T36" s="705" t="s">
        <v>18</v>
      </c>
      <c r="U36" s="706">
        <f t="shared" si="10"/>
        <v>100</v>
      </c>
      <c r="V36" s="705" t="s">
        <v>18</v>
      </c>
      <c r="W36" s="706">
        <f t="shared" si="11"/>
        <v>100</v>
      </c>
      <c r="X36" s="1355"/>
      <c r="Y36" s="3708"/>
      <c r="Z36" s="1356" t="str">
        <f t="shared" si="15"/>
        <v>公共部分装修</v>
      </c>
      <c r="AA36" s="1353">
        <f t="shared" si="12"/>
        <v>1</v>
      </c>
      <c r="AB36" s="1353">
        <f t="shared" si="13"/>
        <v>1</v>
      </c>
      <c r="AC36" s="1353">
        <f t="shared" si="14"/>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8"/>
        <v>成新度</v>
      </c>
      <c r="R37" s="701" t="s">
        <v>18</v>
      </c>
      <c r="S37" s="702" t="e">
        <f t="shared" si="9"/>
        <v>#N/A</v>
      </c>
      <c r="T37" s="701" t="s">
        <v>18</v>
      </c>
      <c r="U37" s="702" t="e">
        <f t="shared" si="10"/>
        <v>#N/A</v>
      </c>
      <c r="V37" s="701" t="s">
        <v>18</v>
      </c>
      <c r="W37" s="702" t="e">
        <f t="shared" si="11"/>
        <v>#N/A</v>
      </c>
      <c r="X37" s="703"/>
      <c r="Y37" s="3708"/>
      <c r="Z37" s="52" t="str">
        <f t="shared" si="15"/>
        <v>成新度</v>
      </c>
      <c r="AA37" s="704" t="e">
        <f t="shared" si="12"/>
        <v>#N/A</v>
      </c>
      <c r="AB37" s="704" t="e">
        <f t="shared" si="13"/>
        <v>#N/A</v>
      </c>
      <c r="AC37" s="704" t="e">
        <f t="shared" si="14"/>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8"/>
        <v>物业管理</v>
      </c>
      <c r="R38" s="705" t="s">
        <v>18</v>
      </c>
      <c r="S38" s="706">
        <f t="shared" si="9"/>
        <v>100</v>
      </c>
      <c r="T38" s="705" t="s">
        <v>18</v>
      </c>
      <c r="U38" s="706">
        <f t="shared" si="10"/>
        <v>100</v>
      </c>
      <c r="V38" s="705" t="s">
        <v>18</v>
      </c>
      <c r="W38" s="706">
        <f t="shared" si="11"/>
        <v>100</v>
      </c>
      <c r="X38" s="1355"/>
      <c r="Y38" s="3708" t="s">
        <v>1696</v>
      </c>
      <c r="Z38" s="1356" t="str">
        <f t="shared" si="15"/>
        <v>物业管理</v>
      </c>
      <c r="AA38" s="1353">
        <f t="shared" si="12"/>
        <v>1</v>
      </c>
      <c r="AB38" s="1353">
        <f t="shared" si="13"/>
        <v>1</v>
      </c>
      <c r="AC38" s="1353">
        <f t="shared" si="14"/>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8"/>
        <v>市政基础设施</v>
      </c>
      <c r="R39" s="705" t="s">
        <v>18</v>
      </c>
      <c r="S39" s="706">
        <f t="shared" si="9"/>
        <v>100</v>
      </c>
      <c r="T39" s="705" t="s">
        <v>18</v>
      </c>
      <c r="U39" s="706">
        <f t="shared" si="10"/>
        <v>100</v>
      </c>
      <c r="V39" s="705" t="s">
        <v>18</v>
      </c>
      <c r="W39" s="706">
        <f t="shared" si="11"/>
        <v>100</v>
      </c>
      <c r="X39" s="1355"/>
      <c r="Y39" s="3708"/>
      <c r="Z39" s="1356" t="str">
        <f t="shared" si="15"/>
        <v>市政基础设施</v>
      </c>
      <c r="AA39" s="1353">
        <f t="shared" si="12"/>
        <v>1</v>
      </c>
      <c r="AB39" s="1353">
        <f t="shared" si="13"/>
        <v>1</v>
      </c>
      <c r="AC39" s="1353">
        <f t="shared" si="14"/>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8"/>
        <v>房型</v>
      </c>
      <c r="R40" s="705" t="s">
        <v>18</v>
      </c>
      <c r="S40" s="706">
        <f t="shared" si="9"/>
        <v>100</v>
      </c>
      <c r="T40" s="705" t="s">
        <v>18</v>
      </c>
      <c r="U40" s="706">
        <f t="shared" si="10"/>
        <v>100</v>
      </c>
      <c r="V40" s="705" t="s">
        <v>18</v>
      </c>
      <c r="W40" s="706">
        <f t="shared" si="11"/>
        <v>100</v>
      </c>
      <c r="X40" s="1355"/>
      <c r="Y40" s="3708"/>
      <c r="Z40" s="1356" t="str">
        <f t="shared" si="15"/>
        <v>房型</v>
      </c>
      <c r="AA40" s="1353">
        <f t="shared" si="12"/>
        <v>1</v>
      </c>
      <c r="AB40" s="1353">
        <f t="shared" si="13"/>
        <v>1</v>
      </c>
      <c r="AC40" s="1353">
        <f t="shared" si="14"/>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8"/>
        <v>单套/主力户型建筑面积</v>
      </c>
      <c r="R41" s="708" t="s">
        <v>18</v>
      </c>
      <c r="S41" s="709">
        <f t="shared" si="9"/>
        <v>100</v>
      </c>
      <c r="T41" s="708" t="s">
        <v>18</v>
      </c>
      <c r="U41" s="709">
        <f t="shared" si="10"/>
        <v>100</v>
      </c>
      <c r="V41" s="708" t="s">
        <v>18</v>
      </c>
      <c r="W41" s="709">
        <f t="shared" si="11"/>
        <v>100</v>
      </c>
      <c r="X41" s="710"/>
      <c r="Y41" s="3708"/>
      <c r="Z41" s="711" t="str">
        <f t="shared" si="15"/>
        <v>单套/主力户型建筑面积</v>
      </c>
      <c r="AA41" s="1353">
        <f t="shared" si="12"/>
        <v>1</v>
      </c>
      <c r="AB41" s="1353">
        <f t="shared" si="13"/>
        <v>1</v>
      </c>
      <c r="AC41" s="1353">
        <f t="shared" si="14"/>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8"/>
        <v>内部装修</v>
      </c>
      <c r="R42" s="705" t="s">
        <v>18</v>
      </c>
      <c r="S42" s="706">
        <f t="shared" si="9"/>
        <v>100</v>
      </c>
      <c r="T42" s="705" t="s">
        <v>18</v>
      </c>
      <c r="U42" s="706">
        <f t="shared" si="10"/>
        <v>100</v>
      </c>
      <c r="V42" s="705" t="s">
        <v>18</v>
      </c>
      <c r="W42" s="706">
        <f t="shared" si="11"/>
        <v>100</v>
      </c>
      <c r="X42" s="1355"/>
      <c r="Y42" s="3708"/>
      <c r="Z42" s="1356" t="str">
        <f t="shared" si="15"/>
        <v>内部装修</v>
      </c>
      <c r="AA42" s="1353">
        <f t="shared" si="12"/>
        <v>1</v>
      </c>
      <c r="AB42" s="1353">
        <f t="shared" si="13"/>
        <v>1</v>
      </c>
      <c r="AC42" s="1353">
        <f t="shared" si="14"/>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8"/>
        <v>内部装修维护情况</v>
      </c>
      <c r="R43" s="705" t="s">
        <v>18</v>
      </c>
      <c r="S43" s="706">
        <f t="shared" si="9"/>
        <v>100</v>
      </c>
      <c r="T43" s="705" t="s">
        <v>18</v>
      </c>
      <c r="U43" s="706">
        <f t="shared" si="10"/>
        <v>100</v>
      </c>
      <c r="V43" s="705" t="s">
        <v>18</v>
      </c>
      <c r="W43" s="706">
        <f t="shared" si="11"/>
        <v>100</v>
      </c>
      <c r="X43" s="1355"/>
      <c r="Y43" s="3708"/>
      <c r="Z43" s="1356" t="str">
        <f t="shared" si="15"/>
        <v>内部装修维护情况</v>
      </c>
      <c r="AA43" s="1353">
        <f t="shared" si="12"/>
        <v>1</v>
      </c>
      <c r="AB43" s="1353">
        <f t="shared" si="13"/>
        <v>1</v>
      </c>
      <c r="AC43" s="1353">
        <f t="shared" si="14"/>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8"/>
        <v>111</v>
      </c>
      <c r="R44" s="701" t="s">
        <v>18</v>
      </c>
      <c r="S44" s="702">
        <f t="shared" si="9"/>
        <v>100</v>
      </c>
      <c r="T44" s="701" t="s">
        <v>18</v>
      </c>
      <c r="U44" s="702">
        <f t="shared" si="10"/>
        <v>100</v>
      </c>
      <c r="V44" s="701" t="s">
        <v>18</v>
      </c>
      <c r="W44" s="702">
        <f t="shared" si="11"/>
        <v>100</v>
      </c>
      <c r="X44" s="703"/>
      <c r="Y44" s="3708"/>
      <c r="Z44" s="52">
        <f t="shared" si="15"/>
        <v>111</v>
      </c>
      <c r="AA44" s="704">
        <f t="shared" si="12"/>
        <v>1</v>
      </c>
      <c r="AB44" s="704">
        <f t="shared" si="13"/>
        <v>1</v>
      </c>
      <c r="AC44" s="704">
        <f t="shared" si="14"/>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8"/>
        <v>111</v>
      </c>
      <c r="R45" s="705" t="s">
        <v>18</v>
      </c>
      <c r="S45" s="706">
        <f t="shared" si="9"/>
        <v>100</v>
      </c>
      <c r="T45" s="705" t="s">
        <v>18</v>
      </c>
      <c r="U45" s="706">
        <f t="shared" si="10"/>
        <v>100</v>
      </c>
      <c r="V45" s="705" t="s">
        <v>18</v>
      </c>
      <c r="W45" s="706">
        <f t="shared" si="11"/>
        <v>100</v>
      </c>
      <c r="X45" s="1355"/>
      <c r="Y45" s="3708"/>
      <c r="Z45" s="1356">
        <f t="shared" si="15"/>
        <v>111</v>
      </c>
      <c r="AA45" s="1353">
        <f t="shared" si="12"/>
        <v>1</v>
      </c>
      <c r="AB45" s="1353">
        <f t="shared" si="13"/>
        <v>1</v>
      </c>
      <c r="AC45" s="1353">
        <f t="shared" si="14"/>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8"/>
        <v>111</v>
      </c>
      <c r="R46" s="705" t="s">
        <v>17</v>
      </c>
      <c r="S46" s="706">
        <f t="shared" si="9"/>
        <v>100</v>
      </c>
      <c r="T46" s="705" t="s">
        <v>17</v>
      </c>
      <c r="U46" s="706">
        <f t="shared" si="10"/>
        <v>100</v>
      </c>
      <c r="V46" s="705" t="s">
        <v>17</v>
      </c>
      <c r="W46" s="706">
        <f t="shared" si="11"/>
        <v>100</v>
      </c>
      <c r="X46" s="1355"/>
      <c r="Y46" s="3709"/>
      <c r="Z46" s="1356">
        <f t="shared" si="15"/>
        <v>111</v>
      </c>
      <c r="AA46" s="1353">
        <f t="shared" si="12"/>
        <v>1</v>
      </c>
      <c r="AB46" s="1353">
        <f t="shared" si="13"/>
        <v>1</v>
      </c>
      <c r="AC46" s="1353">
        <f t="shared" si="14"/>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6">EDATE(E58,-1)</f>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 t="shared" si="16"/>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4"/>
      <c r="O101" s="934"/>
      <c r="P101" s="1922"/>
      <c r="Q101" s="453"/>
    </row>
    <row r="102" spans="1:17" ht="15.75" thickTop="1">
      <c r="A102" s="483"/>
      <c r="B102" s="487" t="s">
        <v>1737</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1249.6999999999998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39" t="s">
        <v>1775</v>
      </c>
      <c r="Q4" s="3740"/>
      <c r="R4" s="3737" t="s">
        <v>1771</v>
      </c>
      <c r="S4" s="3738"/>
      <c r="T4" s="3737" t="s">
        <v>1772</v>
      </c>
      <c r="U4" s="3738"/>
      <c r="V4" s="3698" t="s">
        <v>1773</v>
      </c>
      <c r="W4" s="3698"/>
      <c r="X4" s="1355"/>
      <c r="Y4" s="3737" t="s">
        <v>1775</v>
      </c>
      <c r="Z4" s="3738"/>
      <c r="AA4" s="3736" t="s">
        <v>1771</v>
      </c>
      <c r="AB4" s="3698" t="s">
        <v>1772</v>
      </c>
      <c r="AC4" s="3736" t="s">
        <v>1773</v>
      </c>
    </row>
    <row r="5" spans="1:29" ht="15">
      <c r="A5" s="358"/>
      <c r="B5" s="359"/>
      <c r="C5" s="3675" t="s">
        <v>1673</v>
      </c>
      <c r="D5" s="3676"/>
      <c r="E5" s="3673" t="s">
        <v>1674</v>
      </c>
      <c r="F5" s="3674"/>
      <c r="G5" s="3675" t="s">
        <v>1675</v>
      </c>
      <c r="H5" s="3676"/>
      <c r="I5" s="3675" t="s">
        <v>1676</v>
      </c>
      <c r="J5" s="3676"/>
      <c r="K5" s="559"/>
      <c r="L5" s="2715"/>
      <c r="M5" s="2716"/>
      <c r="N5" s="2716"/>
      <c r="O5" s="2716"/>
      <c r="P5" s="3741"/>
      <c r="Q5" s="3692"/>
      <c r="R5" s="3671"/>
      <c r="S5" s="3672"/>
      <c r="T5" s="3671"/>
      <c r="U5" s="3672"/>
      <c r="V5" s="3698"/>
      <c r="W5" s="3698"/>
      <c r="X5" s="1355"/>
      <c r="Y5" s="3671"/>
      <c r="Z5" s="3672"/>
      <c r="AA5" s="3665"/>
      <c r="AB5" s="3698"/>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42"/>
      <c r="Q6" s="3694"/>
      <c r="R6" s="3671"/>
      <c r="S6" s="3672"/>
      <c r="T6" s="3695"/>
      <c r="U6" s="3696"/>
      <c r="V6" s="3698"/>
      <c r="W6" s="3698"/>
      <c r="X6" s="1355"/>
      <c r="Y6" s="3695"/>
      <c r="Z6" s="3696"/>
      <c r="AA6" s="3666"/>
      <c r="AB6" s="3698"/>
      <c r="AC6" s="3666"/>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1"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2"/>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2"/>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2"/>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2"/>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2"/>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2"/>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2722"/>
      <c r="M22" s="2716"/>
      <c r="N22" s="2716"/>
      <c r="O22" s="2716"/>
      <c r="P22" s="3702"/>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2"/>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2"/>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2"/>
      <c r="Q25" s="1352" t="str">
        <f t="shared" ref="Q25:Q46" si="8">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2"/>
      <c r="Q26" s="1352" t="str">
        <f t="shared" si="8"/>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2"/>
      <c r="Q27" s="1343" t="str">
        <f t="shared" si="8"/>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2"/>
      <c r="Q28" s="1352" t="str">
        <f t="shared" si="8"/>
        <v>楼层</v>
      </c>
      <c r="R28" s="705" t="s">
        <v>14</v>
      </c>
      <c r="S28" s="706">
        <f t="shared" ref="S28:S46" si="9">F28</f>
        <v>100</v>
      </c>
      <c r="T28" s="705" t="s">
        <v>14</v>
      </c>
      <c r="U28" s="706">
        <f t="shared" ref="U28:U46" si="10">H28</f>
        <v>100</v>
      </c>
      <c r="V28" s="705" t="s">
        <v>14</v>
      </c>
      <c r="W28" s="706">
        <f t="shared" ref="W28:W46" si="11">J28</f>
        <v>100</v>
      </c>
      <c r="X28" s="1355"/>
      <c r="Y28" s="3704"/>
      <c r="Z28" s="1356" t="str">
        <f t="shared" ref="Z28:Z46" si="12">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2"/>
      <c r="Q29" s="1352">
        <f t="shared" si="8"/>
        <v>111</v>
      </c>
      <c r="R29" s="705" t="s">
        <v>14</v>
      </c>
      <c r="S29" s="706">
        <f t="shared" si="9"/>
        <v>100</v>
      </c>
      <c r="T29" s="705" t="s">
        <v>14</v>
      </c>
      <c r="U29" s="706">
        <f t="shared" si="10"/>
        <v>100</v>
      </c>
      <c r="V29" s="705" t="s">
        <v>14</v>
      </c>
      <c r="W29" s="706">
        <f t="shared" si="11"/>
        <v>100</v>
      </c>
      <c r="X29" s="1355"/>
      <c r="Y29" s="3704"/>
      <c r="Z29" s="1356">
        <f t="shared" si="12"/>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2"/>
      <c r="Q30" s="1352">
        <f t="shared" si="8"/>
        <v>111</v>
      </c>
      <c r="R30" s="705" t="s">
        <v>14</v>
      </c>
      <c r="S30" s="706">
        <f t="shared" si="9"/>
        <v>100</v>
      </c>
      <c r="T30" s="705" t="s">
        <v>14</v>
      </c>
      <c r="U30" s="706">
        <f t="shared" si="10"/>
        <v>100</v>
      </c>
      <c r="V30" s="705" t="s">
        <v>14</v>
      </c>
      <c r="W30" s="706">
        <f t="shared" si="11"/>
        <v>100</v>
      </c>
      <c r="X30" s="1355"/>
      <c r="Y30" s="3704"/>
      <c r="Z30" s="1356">
        <f t="shared" si="12"/>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2"/>
      <c r="Q31" s="1352">
        <f t="shared" si="8"/>
        <v>111</v>
      </c>
      <c r="R31" s="705" t="s">
        <v>14</v>
      </c>
      <c r="S31" s="706">
        <f t="shared" si="9"/>
        <v>100</v>
      </c>
      <c r="T31" s="705" t="s">
        <v>14</v>
      </c>
      <c r="U31" s="706">
        <f t="shared" si="10"/>
        <v>100</v>
      </c>
      <c r="V31" s="705" t="s">
        <v>14</v>
      </c>
      <c r="W31" s="706">
        <f t="shared" si="11"/>
        <v>100</v>
      </c>
      <c r="X31" s="1355"/>
      <c r="Y31" s="3704"/>
      <c r="Z31" s="1356">
        <f t="shared" si="12"/>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8"/>
        <v>商业类型</v>
      </c>
      <c r="R32" s="705" t="s">
        <v>14</v>
      </c>
      <c r="S32" s="706">
        <f t="shared" si="9"/>
        <v>100</v>
      </c>
      <c r="T32" s="705" t="s">
        <v>14</v>
      </c>
      <c r="U32" s="706">
        <f t="shared" si="10"/>
        <v>100</v>
      </c>
      <c r="V32" s="705" t="s">
        <v>14</v>
      </c>
      <c r="W32" s="706">
        <f t="shared" si="11"/>
        <v>100</v>
      </c>
      <c r="X32" s="1355"/>
      <c r="Y32" s="3708" t="s">
        <v>1696</v>
      </c>
      <c r="Z32" s="1356" t="str">
        <f t="shared" si="12"/>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8"/>
        <v>项目建筑规模</v>
      </c>
      <c r="R33" s="708" t="s">
        <v>14</v>
      </c>
      <c r="S33" s="709" t="e">
        <f t="shared" si="9"/>
        <v>#N/A</v>
      </c>
      <c r="T33" s="708" t="s">
        <v>14</v>
      </c>
      <c r="U33" s="709" t="e">
        <f t="shared" si="10"/>
        <v>#N/A</v>
      </c>
      <c r="V33" s="708" t="s">
        <v>14</v>
      </c>
      <c r="W33" s="709" t="e">
        <f t="shared" si="11"/>
        <v>#N/A</v>
      </c>
      <c r="X33" s="710"/>
      <c r="Y33" s="3708"/>
      <c r="Z33" s="711" t="str">
        <f t="shared" si="12"/>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8"/>
        <v>建筑结构</v>
      </c>
      <c r="R34" s="705" t="s">
        <v>14</v>
      </c>
      <c r="S34" s="706">
        <f t="shared" si="9"/>
        <v>100</v>
      </c>
      <c r="T34" s="705" t="s">
        <v>14</v>
      </c>
      <c r="U34" s="706">
        <f t="shared" si="10"/>
        <v>100</v>
      </c>
      <c r="V34" s="705" t="s">
        <v>14</v>
      </c>
      <c r="W34" s="706">
        <f t="shared" si="11"/>
        <v>100</v>
      </c>
      <c r="X34" s="1355"/>
      <c r="Y34" s="3708"/>
      <c r="Z34" s="1356" t="str">
        <f t="shared" si="12"/>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8"/>
        <v>公共部分装修</v>
      </c>
      <c r="R35" s="705" t="s">
        <v>14</v>
      </c>
      <c r="S35" s="706">
        <f t="shared" si="9"/>
        <v>100</v>
      </c>
      <c r="T35" s="705" t="s">
        <v>14</v>
      </c>
      <c r="U35" s="706">
        <f t="shared" si="10"/>
        <v>100</v>
      </c>
      <c r="V35" s="705" t="s">
        <v>14</v>
      </c>
      <c r="W35" s="706">
        <f t="shared" si="11"/>
        <v>100</v>
      </c>
      <c r="X35" s="1355"/>
      <c r="Y35" s="3708"/>
      <c r="Z35" s="1356" t="str">
        <f t="shared" si="12"/>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8"/>
        <v>成新度</v>
      </c>
      <c r="R36" s="705" t="s">
        <v>14</v>
      </c>
      <c r="S36" s="706" t="e">
        <f t="shared" si="9"/>
        <v>#N/A</v>
      </c>
      <c r="T36" s="705" t="s">
        <v>14</v>
      </c>
      <c r="U36" s="706" t="e">
        <f t="shared" si="10"/>
        <v>#N/A</v>
      </c>
      <c r="V36" s="705" t="s">
        <v>14</v>
      </c>
      <c r="W36" s="706" t="e">
        <f t="shared" si="11"/>
        <v>#N/A</v>
      </c>
      <c r="X36" s="1355"/>
      <c r="Y36" s="3708"/>
      <c r="Z36" s="1356" t="str">
        <f t="shared" si="12"/>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8"/>
        <v>市政基础设施</v>
      </c>
      <c r="R37" s="701" t="s">
        <v>14</v>
      </c>
      <c r="S37" s="702">
        <f t="shared" si="9"/>
        <v>100</v>
      </c>
      <c r="T37" s="701" t="s">
        <v>14</v>
      </c>
      <c r="U37" s="702">
        <f t="shared" si="10"/>
        <v>100</v>
      </c>
      <c r="V37" s="701" t="s">
        <v>14</v>
      </c>
      <c r="W37" s="702">
        <f t="shared" si="11"/>
        <v>100</v>
      </c>
      <c r="X37" s="703"/>
      <c r="Y37" s="3708"/>
      <c r="Z37" s="52" t="str">
        <f t="shared" si="12"/>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8"/>
        <v>业态</v>
      </c>
      <c r="R38" s="705" t="s">
        <v>14</v>
      </c>
      <c r="S38" s="706">
        <f t="shared" si="9"/>
        <v>100</v>
      </c>
      <c r="T38" s="705" t="s">
        <v>14</v>
      </c>
      <c r="U38" s="706">
        <f t="shared" si="10"/>
        <v>100</v>
      </c>
      <c r="V38" s="705" t="s">
        <v>14</v>
      </c>
      <c r="W38" s="706">
        <f t="shared" si="11"/>
        <v>100</v>
      </c>
      <c r="X38" s="1355"/>
      <c r="Y38" s="3708" t="s">
        <v>1696</v>
      </c>
      <c r="Z38" s="1356" t="str">
        <f t="shared" si="12"/>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8"/>
        <v>层高</v>
      </c>
      <c r="R39" s="705" t="s">
        <v>14</v>
      </c>
      <c r="S39" s="706">
        <f t="shared" si="9"/>
        <v>100</v>
      </c>
      <c r="T39" s="705" t="s">
        <v>14</v>
      </c>
      <c r="U39" s="706">
        <f t="shared" si="10"/>
        <v>100</v>
      </c>
      <c r="V39" s="705" t="s">
        <v>14</v>
      </c>
      <c r="W39" s="706">
        <f t="shared" si="11"/>
        <v>100</v>
      </c>
      <c r="X39" s="1355"/>
      <c r="Y39" s="3708"/>
      <c r="Z39" s="1356" t="str">
        <f t="shared" si="12"/>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8"/>
        <v>单套建筑面积</v>
      </c>
      <c r="R40" s="705" t="s">
        <v>14</v>
      </c>
      <c r="S40" s="706">
        <f t="shared" si="9"/>
        <v>100</v>
      </c>
      <c r="T40" s="705" t="s">
        <v>14</v>
      </c>
      <c r="U40" s="706">
        <f t="shared" si="10"/>
        <v>100</v>
      </c>
      <c r="V40" s="705" t="s">
        <v>14</v>
      </c>
      <c r="W40" s="706">
        <f t="shared" si="11"/>
        <v>100</v>
      </c>
      <c r="X40" s="1355"/>
      <c r="Y40" s="3708"/>
      <c r="Z40" s="1356" t="str">
        <f t="shared" si="12"/>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8"/>
        <v>进深比</v>
      </c>
      <c r="R41" s="708" t="s">
        <v>14</v>
      </c>
      <c r="S41" s="709">
        <f t="shared" si="9"/>
        <v>100</v>
      </c>
      <c r="T41" s="708" t="s">
        <v>14</v>
      </c>
      <c r="U41" s="709">
        <f t="shared" si="10"/>
        <v>100</v>
      </c>
      <c r="V41" s="708" t="s">
        <v>14</v>
      </c>
      <c r="W41" s="709">
        <f t="shared" si="11"/>
        <v>100</v>
      </c>
      <c r="X41" s="710"/>
      <c r="Y41" s="3708"/>
      <c r="Z41" s="711" t="str">
        <f t="shared" si="12"/>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8"/>
        <v>内部装修</v>
      </c>
      <c r="R42" s="705" t="s">
        <v>14</v>
      </c>
      <c r="S42" s="706">
        <f t="shared" si="9"/>
        <v>100</v>
      </c>
      <c r="T42" s="705" t="s">
        <v>14</v>
      </c>
      <c r="U42" s="706">
        <f t="shared" si="10"/>
        <v>100</v>
      </c>
      <c r="V42" s="705" t="s">
        <v>14</v>
      </c>
      <c r="W42" s="706">
        <f t="shared" si="11"/>
        <v>100</v>
      </c>
      <c r="X42" s="1355"/>
      <c r="Y42" s="3708"/>
      <c r="Z42" s="1356" t="str">
        <f t="shared" si="12"/>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8"/>
        <v>内部装修维护情况</v>
      </c>
      <c r="R43" s="705" t="s">
        <v>14</v>
      </c>
      <c r="S43" s="706">
        <f t="shared" si="9"/>
        <v>100</v>
      </c>
      <c r="T43" s="705" t="s">
        <v>14</v>
      </c>
      <c r="U43" s="706">
        <f t="shared" si="10"/>
        <v>100</v>
      </c>
      <c r="V43" s="705" t="s">
        <v>14</v>
      </c>
      <c r="W43" s="706">
        <f t="shared" si="11"/>
        <v>100</v>
      </c>
      <c r="X43" s="1355"/>
      <c r="Y43" s="3708"/>
      <c r="Z43" s="1356" t="str">
        <f t="shared" si="12"/>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8"/>
        <v>111</v>
      </c>
      <c r="R44" s="701" t="s">
        <v>14</v>
      </c>
      <c r="S44" s="702">
        <f t="shared" si="9"/>
        <v>100</v>
      </c>
      <c r="T44" s="701" t="s">
        <v>14</v>
      </c>
      <c r="U44" s="702">
        <f t="shared" si="10"/>
        <v>100</v>
      </c>
      <c r="V44" s="701" t="s">
        <v>14</v>
      </c>
      <c r="W44" s="702">
        <f t="shared" si="11"/>
        <v>100</v>
      </c>
      <c r="X44" s="703"/>
      <c r="Y44" s="3708"/>
      <c r="Z44" s="52">
        <f t="shared" si="12"/>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8"/>
        <v>111</v>
      </c>
      <c r="R45" s="705" t="s">
        <v>14</v>
      </c>
      <c r="S45" s="706">
        <f t="shared" si="9"/>
        <v>100</v>
      </c>
      <c r="T45" s="705" t="s">
        <v>14</v>
      </c>
      <c r="U45" s="706">
        <f t="shared" si="10"/>
        <v>100</v>
      </c>
      <c r="V45" s="705" t="s">
        <v>14</v>
      </c>
      <c r="W45" s="706">
        <f t="shared" si="11"/>
        <v>100</v>
      </c>
      <c r="X45" s="1355"/>
      <c r="Y45" s="3708"/>
      <c r="Z45" s="1356">
        <f t="shared" si="12"/>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8"/>
        <v>111</v>
      </c>
      <c r="R46" s="705" t="s">
        <v>14</v>
      </c>
      <c r="S46" s="706">
        <f t="shared" si="9"/>
        <v>100</v>
      </c>
      <c r="T46" s="705" t="s">
        <v>14</v>
      </c>
      <c r="U46" s="706">
        <f t="shared" si="10"/>
        <v>100</v>
      </c>
      <c r="V46" s="705" t="s">
        <v>14</v>
      </c>
      <c r="W46" s="706">
        <f t="shared" si="11"/>
        <v>100</v>
      </c>
      <c r="X46" s="1355"/>
      <c r="Y46" s="3709"/>
      <c r="Z46" s="1356">
        <f t="shared" si="12"/>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698">
        <f>E47</f>
        <v>0</v>
      </c>
      <c r="S47" s="3698"/>
      <c r="T47" s="3698">
        <f>G47</f>
        <v>0</v>
      </c>
      <c r="U47" s="3698"/>
      <c r="V47" s="3698">
        <f>I47</f>
        <v>0</v>
      </c>
      <c r="W47" s="369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3">EDATE(D58,-1)</f>
        <v>45108</v>
      </c>
      <c r="F58" s="1185">
        <f t="shared" si="13"/>
        <v>45078</v>
      </c>
      <c r="G58" s="1185">
        <f t="shared" si="13"/>
        <v>45047</v>
      </c>
      <c r="H58" s="1185">
        <f t="shared" si="13"/>
        <v>45017</v>
      </c>
      <c r="I58" s="1185">
        <f t="shared" si="13"/>
        <v>44986</v>
      </c>
      <c r="J58" s="1185">
        <f t="shared" si="13"/>
        <v>44958</v>
      </c>
      <c r="K58" s="1185">
        <f t="shared" si="13"/>
        <v>44927</v>
      </c>
      <c r="L58" s="1185">
        <f t="shared" si="13"/>
        <v>44896</v>
      </c>
      <c r="M58" s="1185">
        <f t="shared" si="13"/>
        <v>44866</v>
      </c>
      <c r="N58" s="1185">
        <f t="shared" si="13"/>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D83-$K21</f>
        <v>100</v>
      </c>
      <c r="F83" s="493">
        <f>E83-$K21</f>
        <v>100</v>
      </c>
      <c r="G83" s="493">
        <f>F83-$K21</f>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1249.6999999999998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739" t="s">
        <v>1775</v>
      </c>
      <c r="Q4" s="3740"/>
      <c r="R4" s="3737" t="s">
        <v>1771</v>
      </c>
      <c r="S4" s="3738"/>
      <c r="T4" s="3737" t="s">
        <v>1772</v>
      </c>
      <c r="U4" s="3738"/>
      <c r="V4" s="3698" t="s">
        <v>1773</v>
      </c>
      <c r="W4" s="3698"/>
      <c r="X4" s="1355"/>
      <c r="Y4" s="3737" t="s">
        <v>1775</v>
      </c>
      <c r="Z4" s="3738"/>
      <c r="AA4" s="3736" t="s">
        <v>1771</v>
      </c>
      <c r="AB4" s="3665" t="s">
        <v>1772</v>
      </c>
      <c r="AC4" s="3736" t="s">
        <v>1773</v>
      </c>
    </row>
    <row r="5" spans="1:29" ht="15">
      <c r="A5" s="358"/>
      <c r="B5" s="359"/>
      <c r="C5" s="3675" t="s">
        <v>1673</v>
      </c>
      <c r="D5" s="3676"/>
      <c r="E5" s="3673" t="s">
        <v>1674</v>
      </c>
      <c r="F5" s="3674"/>
      <c r="G5" s="3675" t="s">
        <v>1675</v>
      </c>
      <c r="H5" s="3676"/>
      <c r="I5" s="3675" t="s">
        <v>1676</v>
      </c>
      <c r="J5" s="3676"/>
      <c r="K5" s="559"/>
      <c r="L5" s="913"/>
      <c r="M5" s="914"/>
      <c r="N5" s="914"/>
      <c r="O5" s="914"/>
      <c r="P5" s="3741"/>
      <c r="Q5" s="3692"/>
      <c r="R5" s="3671"/>
      <c r="S5" s="3672"/>
      <c r="T5" s="3671"/>
      <c r="U5" s="3672"/>
      <c r="V5" s="3698"/>
      <c r="W5" s="3698"/>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742"/>
      <c r="Q6" s="3694"/>
      <c r="R6" s="3671"/>
      <c r="S6" s="3672"/>
      <c r="T6" s="3695"/>
      <c r="U6" s="3696"/>
      <c r="V6" s="3698"/>
      <c r="W6" s="3698"/>
      <c r="X6" s="1355"/>
      <c r="Y6" s="3695"/>
      <c r="Z6" s="3696"/>
      <c r="AA6" s="3666"/>
      <c r="AB6" s="3666"/>
      <c r="AC6" s="3666"/>
    </row>
    <row r="7" spans="1:29" s="108" customFormat="1" ht="15.75" thickBot="1">
      <c r="A7" s="362" t="s">
        <v>1679</v>
      </c>
      <c r="B7" s="363"/>
      <c r="C7" s="364">
        <f>'数据-取费表'!B2</f>
        <v>45190</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8">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8"/>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8"/>
        <v>111</v>
      </c>
      <c r="R28" s="705" t="s">
        <v>14</v>
      </c>
      <c r="S28" s="706">
        <f t="shared" ref="S28:S40" si="9">F28</f>
        <v>100</v>
      </c>
      <c r="T28" s="705" t="s">
        <v>14</v>
      </c>
      <c r="U28" s="706">
        <f t="shared" ref="U28:U40" si="10">H28</f>
        <v>100</v>
      </c>
      <c r="V28" s="705" t="s">
        <v>14</v>
      </c>
      <c r="W28" s="706">
        <f t="shared" ref="W28:W40" si="11">J28</f>
        <v>100</v>
      </c>
      <c r="X28" s="1355"/>
      <c r="Y28" s="3704"/>
      <c r="Z28" s="1356">
        <f t="shared" ref="Z28:Z40" si="12">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8"/>
        <v>建筑类型</v>
      </c>
      <c r="R29" s="705" t="s">
        <v>14</v>
      </c>
      <c r="S29" s="706">
        <f t="shared" si="9"/>
        <v>100</v>
      </c>
      <c r="T29" s="705" t="s">
        <v>14</v>
      </c>
      <c r="U29" s="706">
        <f t="shared" si="10"/>
        <v>100</v>
      </c>
      <c r="V29" s="705" t="s">
        <v>14</v>
      </c>
      <c r="W29" s="706">
        <f t="shared" si="11"/>
        <v>100</v>
      </c>
      <c r="X29" s="1355"/>
      <c r="Y29" s="3708" t="s">
        <v>1696</v>
      </c>
      <c r="Z29" s="1356" t="str">
        <f t="shared" si="12"/>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8"/>
        <v>项目建筑规模</v>
      </c>
      <c r="R30" s="708" t="s">
        <v>14</v>
      </c>
      <c r="S30" s="709" t="e">
        <f t="shared" si="9"/>
        <v>#N/A</v>
      </c>
      <c r="T30" s="708" t="s">
        <v>14</v>
      </c>
      <c r="U30" s="709" t="e">
        <f t="shared" si="10"/>
        <v>#N/A</v>
      </c>
      <c r="V30" s="708" t="s">
        <v>14</v>
      </c>
      <c r="W30" s="709" t="e">
        <f t="shared" si="11"/>
        <v>#N/A</v>
      </c>
      <c r="X30" s="710"/>
      <c r="Y30" s="3708"/>
      <c r="Z30" s="711" t="str">
        <f t="shared" si="12"/>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8"/>
        <v>建筑结构</v>
      </c>
      <c r="R31" s="705" t="s">
        <v>14</v>
      </c>
      <c r="S31" s="706">
        <f t="shared" si="9"/>
        <v>100</v>
      </c>
      <c r="T31" s="705" t="s">
        <v>14</v>
      </c>
      <c r="U31" s="706">
        <f t="shared" si="10"/>
        <v>100</v>
      </c>
      <c r="V31" s="705" t="s">
        <v>14</v>
      </c>
      <c r="W31" s="706">
        <f t="shared" si="11"/>
        <v>100</v>
      </c>
      <c r="X31" s="1355"/>
      <c r="Y31" s="3708"/>
      <c r="Z31" s="1356" t="str">
        <f t="shared" si="12"/>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8"/>
        <v>公共部分装修</v>
      </c>
      <c r="R32" s="705" t="s">
        <v>14</v>
      </c>
      <c r="S32" s="706">
        <f t="shared" si="9"/>
        <v>100</v>
      </c>
      <c r="T32" s="705" t="s">
        <v>14</v>
      </c>
      <c r="U32" s="706">
        <f t="shared" si="10"/>
        <v>100</v>
      </c>
      <c r="V32" s="705" t="s">
        <v>14</v>
      </c>
      <c r="W32" s="706">
        <f t="shared" si="11"/>
        <v>100</v>
      </c>
      <c r="X32" s="1355"/>
      <c r="Y32" s="3708"/>
      <c r="Z32" s="1356" t="str">
        <f t="shared" si="12"/>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8"/>
        <v>成新度</v>
      </c>
      <c r="R33" s="705" t="s">
        <v>14</v>
      </c>
      <c r="S33" s="706" t="e">
        <f t="shared" si="9"/>
        <v>#N/A</v>
      </c>
      <c r="T33" s="705" t="s">
        <v>14</v>
      </c>
      <c r="U33" s="706" t="e">
        <f t="shared" si="10"/>
        <v>#N/A</v>
      </c>
      <c r="V33" s="705" t="s">
        <v>14</v>
      </c>
      <c r="W33" s="706" t="e">
        <f t="shared" si="11"/>
        <v>#N/A</v>
      </c>
      <c r="X33" s="1355"/>
      <c r="Y33" s="3708"/>
      <c r="Z33" s="1356" t="str">
        <f t="shared" si="12"/>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8"/>
        <v>物业管理</v>
      </c>
      <c r="R34" s="701" t="s">
        <v>14</v>
      </c>
      <c r="S34" s="702">
        <f t="shared" si="9"/>
        <v>100</v>
      </c>
      <c r="T34" s="701" t="s">
        <v>14</v>
      </c>
      <c r="U34" s="702">
        <f t="shared" si="10"/>
        <v>100</v>
      </c>
      <c r="V34" s="701" t="s">
        <v>14</v>
      </c>
      <c r="W34" s="702">
        <f t="shared" si="11"/>
        <v>100</v>
      </c>
      <c r="X34" s="703"/>
      <c r="Y34" s="3708"/>
      <c r="Z34" s="52" t="str">
        <f t="shared" si="12"/>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8"/>
        <v>市政基础设施</v>
      </c>
      <c r="R35" s="705" t="s">
        <v>14</v>
      </c>
      <c r="S35" s="706">
        <f t="shared" si="9"/>
        <v>100</v>
      </c>
      <c r="T35" s="705" t="s">
        <v>14</v>
      </c>
      <c r="U35" s="706">
        <f t="shared" si="10"/>
        <v>100</v>
      </c>
      <c r="V35" s="705" t="s">
        <v>14</v>
      </c>
      <c r="W35" s="706">
        <f t="shared" si="11"/>
        <v>100</v>
      </c>
      <c r="X35" s="1355"/>
      <c r="Y35" s="3708" t="s">
        <v>1696</v>
      </c>
      <c r="Z35" s="1356" t="str">
        <f t="shared" si="12"/>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8"/>
        <v>内部装修</v>
      </c>
      <c r="R36" s="705" t="s">
        <v>14</v>
      </c>
      <c r="S36" s="706">
        <f t="shared" si="9"/>
        <v>100</v>
      </c>
      <c r="T36" s="705" t="s">
        <v>14</v>
      </c>
      <c r="U36" s="706">
        <f t="shared" si="10"/>
        <v>100</v>
      </c>
      <c r="V36" s="705" t="s">
        <v>14</v>
      </c>
      <c r="W36" s="706">
        <f t="shared" si="11"/>
        <v>100</v>
      </c>
      <c r="X36" s="1355"/>
      <c r="Y36" s="3708"/>
      <c r="Z36" s="1356" t="str">
        <f t="shared" si="12"/>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8"/>
        <v>内部装修状况</v>
      </c>
      <c r="R37" s="705" t="s">
        <v>14</v>
      </c>
      <c r="S37" s="706">
        <f t="shared" si="9"/>
        <v>100</v>
      </c>
      <c r="T37" s="705" t="s">
        <v>14</v>
      </c>
      <c r="U37" s="706">
        <f t="shared" si="10"/>
        <v>100</v>
      </c>
      <c r="V37" s="705" t="s">
        <v>14</v>
      </c>
      <c r="W37" s="706">
        <f t="shared" si="11"/>
        <v>100</v>
      </c>
      <c r="X37" s="1355"/>
      <c r="Y37" s="3708"/>
      <c r="Z37" s="1356" t="str">
        <f t="shared" si="12"/>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8"/>
        <v>111</v>
      </c>
      <c r="R38" s="708" t="s">
        <v>14</v>
      </c>
      <c r="S38" s="709">
        <f t="shared" si="9"/>
        <v>100</v>
      </c>
      <c r="T38" s="708" t="s">
        <v>14</v>
      </c>
      <c r="U38" s="709">
        <f t="shared" si="10"/>
        <v>100</v>
      </c>
      <c r="V38" s="708" t="s">
        <v>14</v>
      </c>
      <c r="W38" s="709">
        <f t="shared" si="11"/>
        <v>100</v>
      </c>
      <c r="X38" s="710"/>
      <c r="Y38" s="3708"/>
      <c r="Z38" s="711">
        <f t="shared" si="12"/>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8"/>
        <v>111</v>
      </c>
      <c r="R39" s="705" t="s">
        <v>14</v>
      </c>
      <c r="S39" s="706">
        <f t="shared" si="9"/>
        <v>100</v>
      </c>
      <c r="T39" s="705" t="s">
        <v>14</v>
      </c>
      <c r="U39" s="706">
        <f t="shared" si="10"/>
        <v>100</v>
      </c>
      <c r="V39" s="705" t="s">
        <v>14</v>
      </c>
      <c r="W39" s="706">
        <f t="shared" si="11"/>
        <v>100</v>
      </c>
      <c r="X39" s="1355"/>
      <c r="Y39" s="3708"/>
      <c r="Z39" s="1356">
        <f t="shared" si="12"/>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8"/>
        <v>111</v>
      </c>
      <c r="R40" s="705" t="s">
        <v>14</v>
      </c>
      <c r="S40" s="706">
        <f t="shared" si="9"/>
        <v>100</v>
      </c>
      <c r="T40" s="705" t="s">
        <v>14</v>
      </c>
      <c r="U40" s="706">
        <f t="shared" si="10"/>
        <v>100</v>
      </c>
      <c r="V40" s="705" t="s">
        <v>14</v>
      </c>
      <c r="W40" s="706">
        <f t="shared" si="11"/>
        <v>100</v>
      </c>
      <c r="X40" s="1355"/>
      <c r="Y40" s="3709"/>
      <c r="Z40" s="1356">
        <f t="shared" si="12"/>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3">EDATE(D52,-1)</f>
        <v>45108</v>
      </c>
      <c r="F52" s="1185">
        <f t="shared" si="13"/>
        <v>45078</v>
      </c>
      <c r="G52" s="1185">
        <f t="shared" si="13"/>
        <v>45047</v>
      </c>
      <c r="H52" s="1185">
        <f t="shared" si="13"/>
        <v>45017</v>
      </c>
      <c r="I52" s="1185">
        <f t="shared" si="13"/>
        <v>44986</v>
      </c>
      <c r="J52" s="1185">
        <f t="shared" si="13"/>
        <v>44958</v>
      </c>
      <c r="K52" s="1185">
        <f t="shared" si="13"/>
        <v>44927</v>
      </c>
      <c r="L52" s="1185">
        <f t="shared" si="13"/>
        <v>44896</v>
      </c>
      <c r="M52" s="1185">
        <f t="shared" si="13"/>
        <v>44866</v>
      </c>
      <c r="N52" s="1185">
        <f t="shared" si="13"/>
        <v>44835</v>
      </c>
      <c r="O52" s="1185">
        <f t="shared" si="13"/>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4"/>
      <c r="O89" s="934"/>
      <c r="P89" s="42"/>
      <c r="Q89" s="453"/>
    </row>
    <row r="90" spans="1:17" ht="15.75" thickTop="1">
      <c r="A90" s="483"/>
      <c r="B90" s="487" t="s">
        <v>1737</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39" t="s">
        <v>1775</v>
      </c>
      <c r="Q4" s="3740"/>
      <c r="R4" s="3737" t="s">
        <v>1771</v>
      </c>
      <c r="S4" s="3738"/>
      <c r="T4" s="3737" t="s">
        <v>1772</v>
      </c>
      <c r="U4" s="3738"/>
      <c r="V4" s="3698" t="s">
        <v>1773</v>
      </c>
      <c r="W4" s="3698"/>
      <c r="X4" s="1355"/>
      <c r="Y4" s="3737" t="s">
        <v>1775</v>
      </c>
      <c r="Z4" s="3738"/>
      <c r="AA4" s="3736" t="s">
        <v>1771</v>
      </c>
      <c r="AB4" s="3665" t="s">
        <v>1772</v>
      </c>
      <c r="AC4" s="3736" t="s">
        <v>1773</v>
      </c>
    </row>
    <row r="5" spans="1:29" ht="15">
      <c r="A5" s="358"/>
      <c r="B5" s="359"/>
      <c r="C5" s="3675" t="s">
        <v>1673</v>
      </c>
      <c r="D5" s="3676"/>
      <c r="E5" s="3673" t="s">
        <v>1674</v>
      </c>
      <c r="F5" s="3674"/>
      <c r="G5" s="3675" t="s">
        <v>1675</v>
      </c>
      <c r="H5" s="3676"/>
      <c r="I5" s="3675" t="s">
        <v>1676</v>
      </c>
      <c r="J5" s="3676"/>
      <c r="K5" s="559"/>
      <c r="L5" s="2715"/>
      <c r="M5" s="2716"/>
      <c r="N5" s="2716"/>
      <c r="O5" s="2716"/>
      <c r="P5" s="3741"/>
      <c r="Q5" s="3692"/>
      <c r="R5" s="3671"/>
      <c r="S5" s="3672"/>
      <c r="T5" s="3671"/>
      <c r="U5" s="3672"/>
      <c r="V5" s="3698"/>
      <c r="W5" s="3698"/>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42"/>
      <c r="Q6" s="3694"/>
      <c r="R6" s="3671"/>
      <c r="S6" s="3672"/>
      <c r="T6" s="3695"/>
      <c r="U6" s="3696"/>
      <c r="V6" s="3698"/>
      <c r="W6" s="3698"/>
      <c r="X6" s="1355"/>
      <c r="Y6" s="3695"/>
      <c r="Z6" s="3696"/>
      <c r="AA6" s="3666"/>
      <c r="AB6" s="3666"/>
      <c r="AC6" s="3666"/>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700"/>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D18/F18</f>
        <v>1</v>
      </c>
      <c r="AB18" s="1353">
        <f>D18/H18</f>
        <v>1</v>
      </c>
      <c r="AC18" s="1353">
        <f>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8">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8"/>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8"/>
        <v>配套类型</v>
      </c>
      <c r="R26" s="705" t="s">
        <v>14</v>
      </c>
      <c r="S26" s="706">
        <f t="shared" ref="S26:S36" si="9">F26</f>
        <v>0</v>
      </c>
      <c r="T26" s="705" t="s">
        <v>14</v>
      </c>
      <c r="U26" s="706">
        <f t="shared" ref="U26:U36" si="10">H26</f>
        <v>0</v>
      </c>
      <c r="V26" s="705" t="s">
        <v>14</v>
      </c>
      <c r="W26" s="706">
        <f t="shared" ref="W26:W36" si="11">J26</f>
        <v>0</v>
      </c>
      <c r="X26" s="1355"/>
      <c r="Y26" s="3708" t="s">
        <v>1696</v>
      </c>
      <c r="Z26" s="1356" t="str">
        <f t="shared" ref="Z26:Z36" si="12">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8"/>
        <v>项目停车位配比</v>
      </c>
      <c r="R27" s="708" t="s">
        <v>14</v>
      </c>
      <c r="S27" s="709">
        <f t="shared" si="9"/>
        <v>100</v>
      </c>
      <c r="T27" s="708" t="s">
        <v>14</v>
      </c>
      <c r="U27" s="709">
        <f t="shared" si="10"/>
        <v>100</v>
      </c>
      <c r="V27" s="708" t="s">
        <v>14</v>
      </c>
      <c r="W27" s="709">
        <f t="shared" si="11"/>
        <v>100</v>
      </c>
      <c r="X27" s="710"/>
      <c r="Y27" s="3708"/>
      <c r="Z27" s="711" t="str">
        <f t="shared" si="12"/>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8"/>
        <v>公共部分装修</v>
      </c>
      <c r="R28" s="705" t="s">
        <v>14</v>
      </c>
      <c r="S28" s="706">
        <f t="shared" si="9"/>
        <v>100</v>
      </c>
      <c r="T28" s="705" t="s">
        <v>14</v>
      </c>
      <c r="U28" s="706">
        <f t="shared" si="10"/>
        <v>100</v>
      </c>
      <c r="V28" s="705" t="s">
        <v>14</v>
      </c>
      <c r="W28" s="706">
        <f t="shared" si="11"/>
        <v>100</v>
      </c>
      <c r="X28" s="1355"/>
      <c r="Y28" s="3708"/>
      <c r="Z28" s="1356" t="str">
        <f t="shared" si="12"/>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8"/>
        <v>成新率</v>
      </c>
      <c r="R29" s="705" t="s">
        <v>14</v>
      </c>
      <c r="S29" s="706" t="e">
        <f t="shared" si="9"/>
        <v>#N/A</v>
      </c>
      <c r="T29" s="705" t="s">
        <v>14</v>
      </c>
      <c r="U29" s="706" t="e">
        <f t="shared" si="10"/>
        <v>#N/A</v>
      </c>
      <c r="V29" s="705" t="s">
        <v>14</v>
      </c>
      <c r="W29" s="706" t="e">
        <f t="shared" si="11"/>
        <v>#N/A</v>
      </c>
      <c r="X29" s="1355"/>
      <c r="Y29" s="3708"/>
      <c r="Z29" s="1356" t="str">
        <f t="shared" si="12"/>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8"/>
        <v>物业等级</v>
      </c>
      <c r="R30" s="705" t="s">
        <v>14</v>
      </c>
      <c r="S30" s="706">
        <f t="shared" si="9"/>
        <v>100</v>
      </c>
      <c r="T30" s="705" t="s">
        <v>14</v>
      </c>
      <c r="U30" s="706">
        <f t="shared" si="10"/>
        <v>100</v>
      </c>
      <c r="V30" s="705" t="s">
        <v>14</v>
      </c>
      <c r="W30" s="706">
        <f t="shared" si="11"/>
        <v>100</v>
      </c>
      <c r="X30" s="1355"/>
      <c r="Y30" s="3708"/>
      <c r="Z30" s="1356" t="str">
        <f t="shared" si="12"/>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8"/>
        <v>停车位面积</v>
      </c>
      <c r="R31" s="701" t="s">
        <v>14</v>
      </c>
      <c r="S31" s="702" t="e">
        <f t="shared" si="9"/>
        <v>#N/A</v>
      </c>
      <c r="T31" s="701" t="s">
        <v>14</v>
      </c>
      <c r="U31" s="702" t="e">
        <f t="shared" si="10"/>
        <v>#N/A</v>
      </c>
      <c r="V31" s="701" t="s">
        <v>14</v>
      </c>
      <c r="W31" s="702" t="e">
        <f t="shared" si="11"/>
        <v>#N/A</v>
      </c>
      <c r="X31" s="703"/>
      <c r="Y31" s="3708"/>
      <c r="Z31" s="52" t="str">
        <f t="shared" si="12"/>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8"/>
        <v>车位类型</v>
      </c>
      <c r="R32" s="705" t="s">
        <v>14</v>
      </c>
      <c r="S32" s="706">
        <f t="shared" si="9"/>
        <v>100</v>
      </c>
      <c r="T32" s="705" t="s">
        <v>14</v>
      </c>
      <c r="U32" s="706">
        <f t="shared" si="10"/>
        <v>100</v>
      </c>
      <c r="V32" s="705" t="s">
        <v>14</v>
      </c>
      <c r="W32" s="706">
        <f t="shared" si="11"/>
        <v>100</v>
      </c>
      <c r="X32" s="1355"/>
      <c r="Y32" s="3708" t="s">
        <v>1696</v>
      </c>
      <c r="Z32" s="1356" t="str">
        <f t="shared" si="12"/>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8"/>
        <v>是否直接入户</v>
      </c>
      <c r="R33" s="705" t="s">
        <v>14</v>
      </c>
      <c r="S33" s="706">
        <f t="shared" si="9"/>
        <v>100</v>
      </c>
      <c r="T33" s="705" t="s">
        <v>14</v>
      </c>
      <c r="U33" s="706">
        <f t="shared" si="10"/>
        <v>100</v>
      </c>
      <c r="V33" s="705" t="s">
        <v>14</v>
      </c>
      <c r="W33" s="706">
        <f t="shared" si="11"/>
        <v>100</v>
      </c>
      <c r="X33" s="1355"/>
      <c r="Y33" s="3708"/>
      <c r="Z33" s="1356" t="str">
        <f t="shared" si="12"/>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8"/>
        <v>111</v>
      </c>
      <c r="R34" s="705" t="s">
        <v>14</v>
      </c>
      <c r="S34" s="706">
        <f t="shared" si="9"/>
        <v>100</v>
      </c>
      <c r="T34" s="705" t="s">
        <v>14</v>
      </c>
      <c r="U34" s="706">
        <f t="shared" si="10"/>
        <v>100</v>
      </c>
      <c r="V34" s="705" t="s">
        <v>14</v>
      </c>
      <c r="W34" s="706">
        <f t="shared" si="11"/>
        <v>100</v>
      </c>
      <c r="X34" s="1355"/>
      <c r="Y34" s="3708"/>
      <c r="Z34" s="1356">
        <f t="shared" si="12"/>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8"/>
        <v>111</v>
      </c>
      <c r="R35" s="708" t="s">
        <v>14</v>
      </c>
      <c r="S35" s="709">
        <f t="shared" si="9"/>
        <v>100</v>
      </c>
      <c r="T35" s="708" t="s">
        <v>14</v>
      </c>
      <c r="U35" s="709">
        <f t="shared" si="10"/>
        <v>100</v>
      </c>
      <c r="V35" s="708" t="s">
        <v>14</v>
      </c>
      <c r="W35" s="709">
        <f t="shared" si="11"/>
        <v>100</v>
      </c>
      <c r="X35" s="710"/>
      <c r="Y35" s="3708"/>
      <c r="Z35" s="711">
        <f t="shared" si="12"/>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8"/>
        <v>111</v>
      </c>
      <c r="R36" s="705" t="s">
        <v>14</v>
      </c>
      <c r="S36" s="706">
        <f t="shared" si="9"/>
        <v>100</v>
      </c>
      <c r="T36" s="705" t="s">
        <v>14</v>
      </c>
      <c r="U36" s="706">
        <f t="shared" si="10"/>
        <v>100</v>
      </c>
      <c r="V36" s="705" t="s">
        <v>14</v>
      </c>
      <c r="W36" s="706">
        <f t="shared" si="11"/>
        <v>100</v>
      </c>
      <c r="X36" s="1355"/>
      <c r="Y36" s="3708"/>
      <c r="Z36" s="1356">
        <f t="shared" si="12"/>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3">EDATE(D48,-1)</f>
        <v>45108</v>
      </c>
      <c r="F48" s="1185">
        <f t="shared" si="13"/>
        <v>45078</v>
      </c>
      <c r="G48" s="1185">
        <f t="shared" si="13"/>
        <v>45047</v>
      </c>
      <c r="H48" s="1185">
        <f t="shared" si="13"/>
        <v>45017</v>
      </c>
      <c r="I48" s="1185">
        <f t="shared" si="13"/>
        <v>44986</v>
      </c>
      <c r="J48" s="1185">
        <f t="shared" si="13"/>
        <v>44958</v>
      </c>
      <c r="K48" s="1185">
        <f t="shared" si="13"/>
        <v>44927</v>
      </c>
      <c r="L48" s="1185">
        <f t="shared" si="13"/>
        <v>44896</v>
      </c>
      <c r="M48" s="1185">
        <f t="shared" si="13"/>
        <v>44866</v>
      </c>
      <c r="N48" s="1185">
        <f t="shared" si="13"/>
        <v>44835</v>
      </c>
      <c r="O48" s="1185">
        <f t="shared" si="13"/>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39" t="s">
        <v>1775</v>
      </c>
      <c r="Q4" s="3740"/>
      <c r="R4" s="3737" t="s">
        <v>1771</v>
      </c>
      <c r="S4" s="3738"/>
      <c r="T4" s="3737" t="s">
        <v>1772</v>
      </c>
      <c r="U4" s="3738"/>
      <c r="V4" s="3698" t="s">
        <v>1773</v>
      </c>
      <c r="W4" s="3698"/>
      <c r="X4" s="1355"/>
      <c r="Y4" s="3737" t="s">
        <v>1775</v>
      </c>
      <c r="Z4" s="3738"/>
      <c r="AA4" s="3736" t="s">
        <v>1771</v>
      </c>
      <c r="AB4" s="3665" t="s">
        <v>1772</v>
      </c>
      <c r="AC4" s="3736" t="s">
        <v>1773</v>
      </c>
    </row>
    <row r="5" spans="1:29" ht="15">
      <c r="A5" s="358"/>
      <c r="B5" s="359"/>
      <c r="C5" s="3675" t="s">
        <v>1673</v>
      </c>
      <c r="D5" s="3676"/>
      <c r="E5" s="3673" t="s">
        <v>1674</v>
      </c>
      <c r="F5" s="3674"/>
      <c r="G5" s="3675" t="s">
        <v>1675</v>
      </c>
      <c r="H5" s="3676"/>
      <c r="I5" s="3675" t="s">
        <v>1676</v>
      </c>
      <c r="J5" s="3676"/>
      <c r="K5" s="559"/>
      <c r="L5" s="2715"/>
      <c r="M5" s="2716"/>
      <c r="N5" s="2716"/>
      <c r="O5" s="2716"/>
      <c r="P5" s="3741"/>
      <c r="Q5" s="3692"/>
      <c r="R5" s="3671"/>
      <c r="S5" s="3672"/>
      <c r="T5" s="3671"/>
      <c r="U5" s="3672"/>
      <c r="V5" s="3698"/>
      <c r="W5" s="3698"/>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42"/>
      <c r="Q6" s="3694"/>
      <c r="R6" s="3671"/>
      <c r="S6" s="3672"/>
      <c r="T6" s="3695"/>
      <c r="U6" s="3696"/>
      <c r="V6" s="3698"/>
      <c r="W6" s="3698"/>
      <c r="X6" s="1355"/>
      <c r="Y6" s="3695"/>
      <c r="Z6" s="3696"/>
      <c r="AA6" s="3666"/>
      <c r="AB6" s="3666"/>
      <c r="AC6" s="3666"/>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700"/>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D18/F18</f>
        <v>1</v>
      </c>
      <c r="AB18" s="1353">
        <f>D18/H18</f>
        <v>1</v>
      </c>
      <c r="AC18" s="1353">
        <f>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8">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8"/>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8"/>
        <v>公共部分装修</v>
      </c>
      <c r="R26" s="705" t="s">
        <v>14</v>
      </c>
      <c r="S26" s="706">
        <f t="shared" ref="S26:S34" si="9">F26</f>
        <v>100</v>
      </c>
      <c r="T26" s="705" t="s">
        <v>14</v>
      </c>
      <c r="U26" s="706">
        <f t="shared" ref="U26:U34" si="10">H26</f>
        <v>100</v>
      </c>
      <c r="V26" s="705" t="s">
        <v>14</v>
      </c>
      <c r="W26" s="706">
        <f t="shared" ref="W26:W34" si="11">J26</f>
        <v>100</v>
      </c>
      <c r="X26" s="1355"/>
      <c r="Y26" s="3708" t="s">
        <v>1696</v>
      </c>
      <c r="Z26" s="1356" t="str">
        <f t="shared" ref="Z26:Z34" si="12">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8"/>
        <v>成新率</v>
      </c>
      <c r="R27" s="708" t="s">
        <v>14</v>
      </c>
      <c r="S27" s="709" t="e">
        <f t="shared" si="9"/>
        <v>#N/A</v>
      </c>
      <c r="T27" s="708" t="s">
        <v>14</v>
      </c>
      <c r="U27" s="709" t="e">
        <f t="shared" si="10"/>
        <v>#N/A</v>
      </c>
      <c r="V27" s="708" t="s">
        <v>14</v>
      </c>
      <c r="W27" s="709" t="e">
        <f t="shared" si="11"/>
        <v>#N/A</v>
      </c>
      <c r="X27" s="710"/>
      <c r="Y27" s="3708"/>
      <c r="Z27" s="711" t="str">
        <f t="shared" si="12"/>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8"/>
        <v>物业等级</v>
      </c>
      <c r="R28" s="705" t="s">
        <v>14</v>
      </c>
      <c r="S28" s="706">
        <f t="shared" si="9"/>
        <v>100</v>
      </c>
      <c r="T28" s="705" t="s">
        <v>14</v>
      </c>
      <c r="U28" s="706">
        <f t="shared" si="10"/>
        <v>100</v>
      </c>
      <c r="V28" s="705" t="s">
        <v>14</v>
      </c>
      <c r="W28" s="706">
        <f t="shared" si="11"/>
        <v>100</v>
      </c>
      <c r="X28" s="1355"/>
      <c r="Y28" s="3708"/>
      <c r="Z28" s="1356" t="str">
        <f t="shared" si="12"/>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8"/>
        <v>有无电梯</v>
      </c>
      <c r="R29" s="705" t="s">
        <v>14</v>
      </c>
      <c r="S29" s="706">
        <f t="shared" si="9"/>
        <v>100</v>
      </c>
      <c r="T29" s="705" t="s">
        <v>14</v>
      </c>
      <c r="U29" s="706">
        <f t="shared" si="10"/>
        <v>100</v>
      </c>
      <c r="V29" s="705" t="s">
        <v>14</v>
      </c>
      <c r="W29" s="706">
        <f t="shared" si="11"/>
        <v>100</v>
      </c>
      <c r="X29" s="1355"/>
      <c r="Y29" s="3708"/>
      <c r="Z29" s="1356" t="str">
        <f t="shared" si="12"/>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8"/>
        <v>建筑面积</v>
      </c>
      <c r="R30" s="705" t="s">
        <v>14</v>
      </c>
      <c r="S30" s="706" t="e">
        <f t="shared" si="9"/>
        <v>#N/A</v>
      </c>
      <c r="T30" s="705" t="s">
        <v>14</v>
      </c>
      <c r="U30" s="706" t="e">
        <f t="shared" si="10"/>
        <v>#N/A</v>
      </c>
      <c r="V30" s="705" t="s">
        <v>14</v>
      </c>
      <c r="W30" s="706" t="e">
        <f t="shared" si="11"/>
        <v>#N/A</v>
      </c>
      <c r="X30" s="1355"/>
      <c r="Y30" s="3708"/>
      <c r="Z30" s="1356" t="str">
        <f t="shared" si="12"/>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8"/>
        <v>是否封闭</v>
      </c>
      <c r="R31" s="701" t="s">
        <v>14</v>
      </c>
      <c r="S31" s="702">
        <f t="shared" si="9"/>
        <v>100</v>
      </c>
      <c r="T31" s="701" t="s">
        <v>14</v>
      </c>
      <c r="U31" s="702">
        <f t="shared" si="10"/>
        <v>100</v>
      </c>
      <c r="V31" s="701" t="s">
        <v>14</v>
      </c>
      <c r="W31" s="702">
        <f t="shared" si="11"/>
        <v>100</v>
      </c>
      <c r="X31" s="703"/>
      <c r="Y31" s="3708"/>
      <c r="Z31" s="52" t="str">
        <f t="shared" si="12"/>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8"/>
        <v>111</v>
      </c>
      <c r="R32" s="705" t="s">
        <v>14</v>
      </c>
      <c r="S32" s="706">
        <f t="shared" si="9"/>
        <v>100</v>
      </c>
      <c r="T32" s="705" t="s">
        <v>14</v>
      </c>
      <c r="U32" s="706">
        <f t="shared" si="10"/>
        <v>100</v>
      </c>
      <c r="V32" s="705" t="s">
        <v>14</v>
      </c>
      <c r="W32" s="706">
        <f t="shared" si="11"/>
        <v>100</v>
      </c>
      <c r="X32" s="1355"/>
      <c r="Y32" s="3708" t="s">
        <v>1696</v>
      </c>
      <c r="Z32" s="1356">
        <f t="shared" si="12"/>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8"/>
        <v>111</v>
      </c>
      <c r="R33" s="705" t="s">
        <v>14</v>
      </c>
      <c r="S33" s="706">
        <f t="shared" si="9"/>
        <v>100</v>
      </c>
      <c r="T33" s="705" t="s">
        <v>14</v>
      </c>
      <c r="U33" s="706">
        <f t="shared" si="10"/>
        <v>100</v>
      </c>
      <c r="V33" s="705" t="s">
        <v>14</v>
      </c>
      <c r="W33" s="706">
        <f t="shared" si="11"/>
        <v>100</v>
      </c>
      <c r="X33" s="1355"/>
      <c r="Y33" s="3708"/>
      <c r="Z33" s="1356">
        <f t="shared" si="12"/>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8"/>
        <v>111</v>
      </c>
      <c r="R34" s="705" t="s">
        <v>14</v>
      </c>
      <c r="S34" s="706">
        <f t="shared" si="9"/>
        <v>100</v>
      </c>
      <c r="T34" s="705" t="s">
        <v>14</v>
      </c>
      <c r="U34" s="706">
        <f t="shared" si="10"/>
        <v>100</v>
      </c>
      <c r="V34" s="705" t="s">
        <v>14</v>
      </c>
      <c r="W34" s="706">
        <f t="shared" si="11"/>
        <v>100</v>
      </c>
      <c r="X34" s="1355"/>
      <c r="Y34" s="3708"/>
      <c r="Z34" s="1356">
        <f t="shared" si="12"/>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3">EDATE(D46,-1)</f>
        <v>45108</v>
      </c>
      <c r="F46" s="1185">
        <f t="shared" si="13"/>
        <v>45078</v>
      </c>
      <c r="G46" s="1185">
        <f t="shared" si="13"/>
        <v>45047</v>
      </c>
      <c r="H46" s="1185">
        <f t="shared" si="13"/>
        <v>45017</v>
      </c>
      <c r="I46" s="1185">
        <f t="shared" si="13"/>
        <v>44986</v>
      </c>
      <c r="J46" s="1185">
        <f t="shared" si="13"/>
        <v>44958</v>
      </c>
      <c r="K46" s="1185">
        <f t="shared" si="13"/>
        <v>44927</v>
      </c>
      <c r="L46" s="1185">
        <f t="shared" si="13"/>
        <v>44896</v>
      </c>
      <c r="M46" s="1185">
        <f t="shared" si="13"/>
        <v>44866</v>
      </c>
      <c r="N46" s="1185">
        <f t="shared" si="13"/>
        <v>44835</v>
      </c>
      <c r="O46" s="1185">
        <f t="shared" si="13"/>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739" t="s">
        <v>1775</v>
      </c>
      <c r="Q4" s="3740"/>
      <c r="R4" s="3737" t="s">
        <v>1771</v>
      </c>
      <c r="S4" s="3738"/>
      <c r="T4" s="3737" t="s">
        <v>1772</v>
      </c>
      <c r="U4" s="3738"/>
      <c r="V4" s="3698" t="s">
        <v>1773</v>
      </c>
      <c r="W4" s="3698"/>
      <c r="X4" s="1355"/>
      <c r="Y4" s="3737" t="s">
        <v>1775</v>
      </c>
      <c r="Z4" s="3738"/>
      <c r="AA4" s="3736" t="s">
        <v>1771</v>
      </c>
      <c r="AB4" s="3665" t="s">
        <v>1772</v>
      </c>
      <c r="AC4" s="3736" t="s">
        <v>1773</v>
      </c>
    </row>
    <row r="5" spans="1:30" ht="15">
      <c r="A5" s="358"/>
      <c r="B5" s="359"/>
      <c r="C5" s="3675" t="s">
        <v>1673</v>
      </c>
      <c r="D5" s="3676"/>
      <c r="E5" s="3673" t="s">
        <v>1674</v>
      </c>
      <c r="F5" s="3674"/>
      <c r="G5" s="3675" t="s">
        <v>1675</v>
      </c>
      <c r="H5" s="3676"/>
      <c r="I5" s="3675" t="s">
        <v>1676</v>
      </c>
      <c r="J5" s="3676"/>
      <c r="K5" s="559"/>
      <c r="L5" s="2715"/>
      <c r="M5" s="2716"/>
      <c r="N5" s="2716"/>
      <c r="O5" s="2716"/>
      <c r="P5" s="3741"/>
      <c r="Q5" s="3692"/>
      <c r="R5" s="3671"/>
      <c r="S5" s="3672"/>
      <c r="T5" s="3671"/>
      <c r="U5" s="3672"/>
      <c r="V5" s="3698"/>
      <c r="W5" s="3698"/>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742"/>
      <c r="Q6" s="3694"/>
      <c r="R6" s="3671"/>
      <c r="S6" s="3672"/>
      <c r="T6" s="3695"/>
      <c r="U6" s="3696"/>
      <c r="V6" s="3698"/>
      <c r="W6" s="3698"/>
      <c r="X6" s="1355"/>
      <c r="Y6" s="3695"/>
      <c r="Z6" s="3696"/>
      <c r="AA6" s="3666"/>
      <c r="AB6" s="3666"/>
      <c r="AC6" s="3666"/>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710"/>
      <c r="Q10" s="1343" t="str">
        <f t="shared" si="6"/>
        <v>土地使用年限（年）</v>
      </c>
      <c r="R10" s="701" t="s">
        <v>14</v>
      </c>
      <c r="S10" s="702">
        <f t="shared" si="0"/>
        <v>134</v>
      </c>
      <c r="T10" s="701" t="s">
        <v>14</v>
      </c>
      <c r="U10" s="702">
        <f t="shared" si="1"/>
        <v>134</v>
      </c>
      <c r="V10" s="701" t="s">
        <v>14</v>
      </c>
      <c r="W10" s="702">
        <f t="shared" si="2"/>
        <v>134</v>
      </c>
      <c r="X10" s="703"/>
      <c r="Y10" s="3613"/>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9">F31</f>
        <v>100</v>
      </c>
      <c r="T31" s="705" t="s">
        <v>14</v>
      </c>
      <c r="U31" s="706">
        <f t="shared" ref="U31:U45" si="10">H31</f>
        <v>100</v>
      </c>
      <c r="V31" s="705" t="s">
        <v>14</v>
      </c>
      <c r="W31" s="706">
        <f t="shared" ref="W31:W45" si="11">J31</f>
        <v>100</v>
      </c>
      <c r="X31" s="1355"/>
      <c r="Y31" s="3704"/>
      <c r="Z31" s="1356" t="str">
        <f t="shared" ref="Z31:Z45" si="12">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9"/>
        <v>100</v>
      </c>
      <c r="T32" s="705" t="s">
        <v>14</v>
      </c>
      <c r="U32" s="706">
        <f t="shared" si="10"/>
        <v>100</v>
      </c>
      <c r="V32" s="705" t="s">
        <v>14</v>
      </c>
      <c r="W32" s="706">
        <f t="shared" si="11"/>
        <v>100</v>
      </c>
      <c r="X32" s="1355"/>
      <c r="Y32" s="3704"/>
      <c r="Z32" s="1356" t="str">
        <f t="shared" si="12"/>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9"/>
        <v>100</v>
      </c>
      <c r="T34" s="705" t="s">
        <v>14</v>
      </c>
      <c r="U34" s="706">
        <f t="shared" si="10"/>
        <v>100</v>
      </c>
      <c r="V34" s="705" t="s">
        <v>14</v>
      </c>
      <c r="W34" s="706">
        <f t="shared" si="11"/>
        <v>100</v>
      </c>
      <c r="X34" s="1355"/>
      <c r="Y34" s="3704"/>
      <c r="Z34" s="1356" t="str">
        <f t="shared" si="12"/>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9"/>
        <v>100</v>
      </c>
      <c r="T35" s="705" t="s">
        <v>14</v>
      </c>
      <c r="U35" s="706">
        <f t="shared" si="10"/>
        <v>100</v>
      </c>
      <c r="V35" s="705" t="s">
        <v>14</v>
      </c>
      <c r="W35" s="706">
        <f t="shared" si="11"/>
        <v>100</v>
      </c>
      <c r="X35" s="1355"/>
      <c r="Y35" s="3704"/>
      <c r="Z35" s="1356">
        <f t="shared" si="12"/>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9"/>
        <v>100</v>
      </c>
      <c r="T36" s="705" t="s">
        <v>14</v>
      </c>
      <c r="U36" s="706">
        <f t="shared" si="10"/>
        <v>100</v>
      </c>
      <c r="V36" s="705" t="s">
        <v>14</v>
      </c>
      <c r="W36" s="706">
        <f t="shared" si="11"/>
        <v>100</v>
      </c>
      <c r="X36" s="1355"/>
      <c r="Y36" s="3708" t="s">
        <v>1696</v>
      </c>
      <c r="Z36" s="1356">
        <f t="shared" si="12"/>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9"/>
        <v>100</v>
      </c>
      <c r="T37" s="708" t="s">
        <v>14</v>
      </c>
      <c r="U37" s="709">
        <f t="shared" si="10"/>
        <v>100</v>
      </c>
      <c r="V37" s="708" t="s">
        <v>14</v>
      </c>
      <c r="W37" s="709">
        <f t="shared" si="11"/>
        <v>100</v>
      </c>
      <c r="X37" s="710"/>
      <c r="Y37" s="3708"/>
      <c r="Z37" s="711">
        <f t="shared" si="12"/>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9"/>
        <v>#N/A</v>
      </c>
      <c r="T38" s="705" t="s">
        <v>14</v>
      </c>
      <c r="U38" s="706" t="e">
        <f t="shared" si="10"/>
        <v>#N/A</v>
      </c>
      <c r="V38" s="705" t="s">
        <v>14</v>
      </c>
      <c r="W38" s="706" t="e">
        <f t="shared" si="11"/>
        <v>#N/A</v>
      </c>
      <c r="X38" s="1355"/>
      <c r="Y38" s="3708"/>
      <c r="Z38" s="1356" t="str">
        <f t="shared" si="12"/>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3">B39</f>
        <v>宗地形状</v>
      </c>
      <c r="R39" s="705" t="s">
        <v>14</v>
      </c>
      <c r="S39" s="706">
        <f t="shared" si="9"/>
        <v>100</v>
      </c>
      <c r="T39" s="705" t="s">
        <v>14</v>
      </c>
      <c r="U39" s="706">
        <f t="shared" si="10"/>
        <v>100</v>
      </c>
      <c r="V39" s="705" t="s">
        <v>14</v>
      </c>
      <c r="W39" s="706">
        <f t="shared" si="11"/>
        <v>100</v>
      </c>
      <c r="X39" s="1355"/>
      <c r="Y39" s="3708"/>
      <c r="Z39" s="1356" t="str">
        <f t="shared" si="12"/>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3"/>
        <v>临街宽度及深度</v>
      </c>
      <c r="R40" s="705" t="s">
        <v>14</v>
      </c>
      <c r="S40" s="706">
        <f t="shared" si="9"/>
        <v>100</v>
      </c>
      <c r="T40" s="705" t="s">
        <v>14</v>
      </c>
      <c r="U40" s="706">
        <f t="shared" si="10"/>
        <v>100</v>
      </c>
      <c r="V40" s="705" t="s">
        <v>14</v>
      </c>
      <c r="W40" s="706">
        <f t="shared" si="11"/>
        <v>100</v>
      </c>
      <c r="X40" s="1355"/>
      <c r="Y40" s="3708"/>
      <c r="Z40" s="1356" t="str">
        <f t="shared" si="12"/>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3"/>
        <v>宗地开发程度</v>
      </c>
      <c r="R41" s="701" t="s">
        <v>14</v>
      </c>
      <c r="S41" s="702">
        <f t="shared" si="9"/>
        <v>100</v>
      </c>
      <c r="T41" s="701" t="s">
        <v>14</v>
      </c>
      <c r="U41" s="702">
        <f t="shared" si="10"/>
        <v>100</v>
      </c>
      <c r="V41" s="701" t="s">
        <v>14</v>
      </c>
      <c r="W41" s="702">
        <f t="shared" si="11"/>
        <v>100</v>
      </c>
      <c r="X41" s="703"/>
      <c r="Y41" s="3708"/>
      <c r="Z41" s="52" t="str">
        <f t="shared" si="12"/>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3"/>
        <v>工程地质条件</v>
      </c>
      <c r="R42" s="705" t="s">
        <v>14</v>
      </c>
      <c r="S42" s="706">
        <f t="shared" si="9"/>
        <v>100</v>
      </c>
      <c r="T42" s="705" t="s">
        <v>14</v>
      </c>
      <c r="U42" s="706">
        <f t="shared" si="10"/>
        <v>100</v>
      </c>
      <c r="V42" s="705" t="s">
        <v>14</v>
      </c>
      <c r="W42" s="706">
        <f t="shared" si="11"/>
        <v>100</v>
      </c>
      <c r="X42" s="1355"/>
      <c r="Y42" s="3708" t="s">
        <v>1696</v>
      </c>
      <c r="Z42" s="1356" t="str">
        <f t="shared" si="12"/>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3"/>
        <v>111</v>
      </c>
      <c r="R43" s="705" t="s">
        <v>14</v>
      </c>
      <c r="S43" s="706">
        <f t="shared" si="9"/>
        <v>100</v>
      </c>
      <c r="T43" s="705" t="s">
        <v>14</v>
      </c>
      <c r="U43" s="706">
        <f t="shared" si="10"/>
        <v>100</v>
      </c>
      <c r="V43" s="705" t="s">
        <v>14</v>
      </c>
      <c r="W43" s="706">
        <f t="shared" si="11"/>
        <v>100</v>
      </c>
      <c r="X43" s="1355"/>
      <c r="Y43" s="3708"/>
      <c r="Z43" s="1356">
        <f t="shared" si="12"/>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3"/>
        <v>111</v>
      </c>
      <c r="R44" s="705" t="s">
        <v>14</v>
      </c>
      <c r="S44" s="706">
        <f t="shared" si="9"/>
        <v>100</v>
      </c>
      <c r="T44" s="705" t="s">
        <v>14</v>
      </c>
      <c r="U44" s="706">
        <f t="shared" si="10"/>
        <v>100</v>
      </c>
      <c r="V44" s="705" t="s">
        <v>14</v>
      </c>
      <c r="W44" s="706">
        <f t="shared" si="11"/>
        <v>100</v>
      </c>
      <c r="X44" s="1355"/>
      <c r="Y44" s="3708"/>
      <c r="Z44" s="1356">
        <f t="shared" si="12"/>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3"/>
        <v>111</v>
      </c>
      <c r="R45" s="708" t="s">
        <v>14</v>
      </c>
      <c r="S45" s="709">
        <f t="shared" si="9"/>
        <v>100</v>
      </c>
      <c r="T45" s="708" t="s">
        <v>14</v>
      </c>
      <c r="U45" s="709">
        <f t="shared" si="10"/>
        <v>100</v>
      </c>
      <c r="V45" s="708" t="s">
        <v>14</v>
      </c>
      <c r="W45" s="709">
        <f t="shared" si="11"/>
        <v>100</v>
      </c>
      <c r="X45" s="710"/>
      <c r="Y45" s="3708"/>
      <c r="Z45" s="711">
        <f t="shared" si="12"/>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1249.6999999999998</v>
      </c>
      <c r="F56" s="886" t="e">
        <f t="shared" ref="F56:F64" si="14">ROUND(B56*E56/10000,0)</f>
        <v>#DIV/0!</v>
      </c>
      <c r="G56" s="3681"/>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5">IF($C$55="北京市系数",I57,J57)</f>
        <v>0.6</v>
      </c>
      <c r="D57" s="945">
        <v>0.25</v>
      </c>
      <c r="E57" s="642"/>
      <c r="F57" s="886" t="e">
        <f t="shared" si="14"/>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6">ROUND($C$48*C58*D58,0)</f>
        <v>#DIV/0!</v>
      </c>
      <c r="C58" s="171">
        <f t="shared" si="15"/>
        <v>0.3</v>
      </c>
      <c r="D58" s="945">
        <v>0.25</v>
      </c>
      <c r="E58" s="642"/>
      <c r="F58" s="886" t="e">
        <f t="shared" si="14"/>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6"/>
        <v>#DIV/0!</v>
      </c>
      <c r="C59" s="171">
        <f t="shared" si="15"/>
        <v>0.25</v>
      </c>
      <c r="D59" s="945">
        <v>0.25</v>
      </c>
      <c r="E59" s="642"/>
      <c r="F59" s="886" t="e">
        <f t="shared" si="14"/>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6"/>
        <v>#DIV/0!</v>
      </c>
      <c r="C60" s="171">
        <f t="shared" si="15"/>
        <v>0</v>
      </c>
      <c r="D60" s="945">
        <v>0.25</v>
      </c>
      <c r="E60" s="217">
        <f>'数据-汇总表'!E11</f>
        <v>0</v>
      </c>
      <c r="F60" s="886" t="e">
        <f t="shared" si="14"/>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6"/>
        <v>#DIV/0!</v>
      </c>
      <c r="C61" s="171">
        <f t="shared" si="15"/>
        <v>0</v>
      </c>
      <c r="D61" s="945">
        <v>0.25</v>
      </c>
      <c r="E61" s="217">
        <f>'数据-汇总表'!E12</f>
        <v>0</v>
      </c>
      <c r="F61" s="886" t="e">
        <f t="shared" si="14"/>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6"/>
        <v>#DIV/0!</v>
      </c>
      <c r="C62" s="171">
        <f t="shared" si="15"/>
        <v>0</v>
      </c>
      <c r="D62" s="945">
        <v>0.25</v>
      </c>
      <c r="E62" s="217">
        <f>'数据-汇总表'!E13</f>
        <v>0</v>
      </c>
      <c r="F62" s="886" t="e">
        <f t="shared" si="14"/>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6"/>
        <v>#DIV/0!</v>
      </c>
      <c r="C63" s="171">
        <f t="shared" si="15"/>
        <v>0.15</v>
      </c>
      <c r="D63" s="945">
        <v>0.25</v>
      </c>
      <c r="E63" s="217">
        <f>'数据-汇总表'!E14</f>
        <v>0</v>
      </c>
      <c r="F63" s="886" t="e">
        <f t="shared" si="14"/>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6"/>
        <v>#DIV/0!</v>
      </c>
      <c r="C64" s="171">
        <f t="shared" si="15"/>
        <v>0</v>
      </c>
      <c r="D64" s="945">
        <v>0.25</v>
      </c>
      <c r="E64" s="217">
        <f>'数据-汇总表'!E15</f>
        <v>0</v>
      </c>
      <c r="F64" s="886" t="e">
        <f t="shared" si="14"/>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1249.6999999999998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7">EDATE(E67,-3)</f>
        <v>44896</v>
      </c>
      <c r="G67" s="692">
        <f t="shared" si="17"/>
        <v>44805</v>
      </c>
      <c r="H67" s="692">
        <f t="shared" si="17"/>
        <v>44713</v>
      </c>
      <c r="I67" s="692">
        <f t="shared" si="17"/>
        <v>44621</v>
      </c>
      <c r="J67" s="692">
        <f t="shared" si="17"/>
        <v>44531</v>
      </c>
      <c r="K67" s="692">
        <f t="shared" si="17"/>
        <v>44440</v>
      </c>
      <c r="L67" s="692">
        <f t="shared" si="17"/>
        <v>44348</v>
      </c>
      <c r="M67" s="692">
        <f t="shared" si="17"/>
        <v>44256</v>
      </c>
      <c r="N67" s="692">
        <f t="shared" si="17"/>
        <v>44166</v>
      </c>
      <c r="O67" s="692">
        <f t="shared" si="17"/>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8">YEAR(E67)&amp;"-"&amp;ROUNDUP(MONTH(E67)/3,0)</f>
        <v>2023-1</v>
      </c>
      <c r="F69" s="1182" t="str">
        <f t="shared" si="18"/>
        <v>2022-4</v>
      </c>
      <c r="G69" s="1182" t="str">
        <f t="shared" si="18"/>
        <v>2022-3</v>
      </c>
      <c r="H69" s="1182" t="str">
        <f t="shared" si="18"/>
        <v>2022-2</v>
      </c>
      <c r="I69" s="1182" t="str">
        <f t="shared" si="18"/>
        <v>2022-1</v>
      </c>
      <c r="J69" s="1182" t="str">
        <f t="shared" si="18"/>
        <v>2021-4</v>
      </c>
      <c r="K69" s="1182" t="str">
        <f t="shared" si="18"/>
        <v>2021-3</v>
      </c>
      <c r="L69" s="1182" t="str">
        <f t="shared" si="18"/>
        <v>2021-2</v>
      </c>
      <c r="M69" s="1182" t="str">
        <f t="shared" si="18"/>
        <v>2021-1</v>
      </c>
      <c r="N69" s="1182" t="str">
        <f t="shared" si="18"/>
        <v>2020-4</v>
      </c>
      <c r="O69" s="1182" t="str">
        <f t="shared" si="18"/>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39" t="s">
        <v>1775</v>
      </c>
      <c r="Q4" s="3740"/>
      <c r="R4" s="3737" t="s">
        <v>1771</v>
      </c>
      <c r="S4" s="3738"/>
      <c r="T4" s="3737" t="s">
        <v>1772</v>
      </c>
      <c r="U4" s="3738"/>
      <c r="V4" s="3698" t="s">
        <v>1773</v>
      </c>
      <c r="W4" s="3698"/>
      <c r="X4" s="1355"/>
      <c r="Y4" s="3737" t="s">
        <v>1775</v>
      </c>
      <c r="Z4" s="3738"/>
      <c r="AA4" s="3736" t="s">
        <v>1771</v>
      </c>
      <c r="AB4" s="3665" t="s">
        <v>1772</v>
      </c>
      <c r="AC4" s="3736" t="s">
        <v>1773</v>
      </c>
    </row>
    <row r="5" spans="1:29" ht="15">
      <c r="A5" s="358"/>
      <c r="B5" s="359"/>
      <c r="C5" s="3675" t="s">
        <v>1673</v>
      </c>
      <c r="D5" s="3676"/>
      <c r="E5" s="3673" t="s">
        <v>1674</v>
      </c>
      <c r="F5" s="3674"/>
      <c r="G5" s="3675" t="s">
        <v>1675</v>
      </c>
      <c r="H5" s="3676"/>
      <c r="I5" s="3675" t="s">
        <v>1676</v>
      </c>
      <c r="J5" s="3676"/>
      <c r="K5" s="559"/>
      <c r="L5" s="2715"/>
      <c r="M5" s="2716"/>
      <c r="N5" s="2716"/>
      <c r="O5" s="2716"/>
      <c r="P5" s="3741"/>
      <c r="Q5" s="3692"/>
      <c r="R5" s="3671"/>
      <c r="S5" s="3672"/>
      <c r="T5" s="3671"/>
      <c r="U5" s="3672"/>
      <c r="V5" s="3698"/>
      <c r="W5" s="3698"/>
      <c r="X5" s="1355"/>
      <c r="Y5" s="3671"/>
      <c r="Z5" s="3672"/>
      <c r="AA5" s="3665"/>
      <c r="AB5" s="3665"/>
      <c r="AC5" s="3665"/>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2"/>
      <c r="Q6" s="3694"/>
      <c r="R6" s="3671"/>
      <c r="S6" s="3672"/>
      <c r="T6" s="3695"/>
      <c r="U6" s="3696"/>
      <c r="V6" s="3698"/>
      <c r="W6" s="3698"/>
      <c r="X6" s="1355"/>
      <c r="Y6" s="3695"/>
      <c r="Z6" s="3696"/>
      <c r="AA6" s="3666"/>
      <c r="AB6" s="3666"/>
      <c r="AC6" s="3666"/>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710"/>
      <c r="Q10" s="1343" t="str">
        <f t="shared" si="6"/>
        <v>土地使用年限（年）</v>
      </c>
      <c r="R10" s="701" t="s">
        <v>14</v>
      </c>
      <c r="S10" s="702">
        <f t="shared" si="0"/>
        <v>134</v>
      </c>
      <c r="T10" s="701" t="s">
        <v>14</v>
      </c>
      <c r="U10" s="702">
        <f t="shared" si="1"/>
        <v>134</v>
      </c>
      <c r="V10" s="701" t="s">
        <v>14</v>
      </c>
      <c r="W10" s="702">
        <f t="shared" si="2"/>
        <v>134</v>
      </c>
      <c r="X10" s="703"/>
      <c r="Y10" s="3613"/>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9">F27</f>
        <v>100</v>
      </c>
      <c r="T27" s="705" t="s">
        <v>14</v>
      </c>
      <c r="U27" s="706">
        <f t="shared" ref="U27:U40" si="10">H27</f>
        <v>100</v>
      </c>
      <c r="V27" s="705" t="s">
        <v>14</v>
      </c>
      <c r="W27" s="706">
        <f t="shared" ref="W27:W40" si="11">J27</f>
        <v>100</v>
      </c>
      <c r="X27" s="1355"/>
      <c r="Y27" s="3704"/>
      <c r="Z27" s="1356" t="str">
        <f t="shared" ref="Z27:Z40" si="12">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9"/>
        <v>100</v>
      </c>
      <c r="T28" s="705" t="s">
        <v>14</v>
      </c>
      <c r="U28" s="706">
        <f t="shared" si="10"/>
        <v>100</v>
      </c>
      <c r="V28" s="705" t="s">
        <v>14</v>
      </c>
      <c r="W28" s="706">
        <f t="shared" si="11"/>
        <v>100</v>
      </c>
      <c r="X28" s="1355"/>
      <c r="Y28" s="3704"/>
      <c r="Z28" s="1356" t="str">
        <f t="shared" si="12"/>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9"/>
        <v>100</v>
      </c>
      <c r="T30" s="705" t="s">
        <v>14</v>
      </c>
      <c r="U30" s="706">
        <f t="shared" si="10"/>
        <v>100</v>
      </c>
      <c r="V30" s="705" t="s">
        <v>14</v>
      </c>
      <c r="W30" s="706">
        <f t="shared" si="11"/>
        <v>100</v>
      </c>
      <c r="X30" s="1355"/>
      <c r="Y30" s="3704"/>
      <c r="Z30" s="1356" t="str">
        <f t="shared" si="12"/>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9"/>
        <v>100</v>
      </c>
      <c r="T31" s="705" t="s">
        <v>14</v>
      </c>
      <c r="U31" s="706">
        <f t="shared" si="10"/>
        <v>100</v>
      </c>
      <c r="V31" s="705" t="s">
        <v>14</v>
      </c>
      <c r="W31" s="706">
        <f t="shared" si="11"/>
        <v>100</v>
      </c>
      <c r="X31" s="1355"/>
      <c r="Y31" s="3704"/>
      <c r="Z31" s="1356">
        <f t="shared" si="12"/>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9"/>
        <v>100</v>
      </c>
      <c r="T32" s="705" t="s">
        <v>14</v>
      </c>
      <c r="U32" s="706">
        <f t="shared" si="10"/>
        <v>100</v>
      </c>
      <c r="V32" s="705" t="s">
        <v>14</v>
      </c>
      <c r="W32" s="706">
        <f t="shared" si="11"/>
        <v>100</v>
      </c>
      <c r="X32" s="1355"/>
      <c r="Y32" s="3708" t="s">
        <v>1696</v>
      </c>
      <c r="Z32" s="1356">
        <f t="shared" si="12"/>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9"/>
        <v>100</v>
      </c>
      <c r="T33" s="708" t="s">
        <v>14</v>
      </c>
      <c r="U33" s="709">
        <f t="shared" si="10"/>
        <v>100</v>
      </c>
      <c r="V33" s="708" t="s">
        <v>14</v>
      </c>
      <c r="W33" s="709">
        <f t="shared" si="11"/>
        <v>100</v>
      </c>
      <c r="X33" s="710"/>
      <c r="Y33" s="3708"/>
      <c r="Z33" s="711">
        <f t="shared" si="12"/>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9"/>
        <v>#N/A</v>
      </c>
      <c r="T34" s="705" t="s">
        <v>14</v>
      </c>
      <c r="U34" s="706" t="e">
        <f t="shared" si="10"/>
        <v>#N/A</v>
      </c>
      <c r="V34" s="705" t="s">
        <v>14</v>
      </c>
      <c r="W34" s="706" t="e">
        <f t="shared" si="11"/>
        <v>#N/A</v>
      </c>
      <c r="X34" s="1355"/>
      <c r="Y34" s="3708"/>
      <c r="Z34" s="1356" t="str">
        <f t="shared" si="12"/>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3">B35</f>
        <v>宗地形状</v>
      </c>
      <c r="R35" s="705" t="s">
        <v>14</v>
      </c>
      <c r="S35" s="706">
        <f t="shared" si="9"/>
        <v>100</v>
      </c>
      <c r="T35" s="705" t="s">
        <v>14</v>
      </c>
      <c r="U35" s="706">
        <f t="shared" si="10"/>
        <v>100</v>
      </c>
      <c r="V35" s="705" t="s">
        <v>14</v>
      </c>
      <c r="W35" s="706">
        <f t="shared" si="11"/>
        <v>100</v>
      </c>
      <c r="X35" s="1355"/>
      <c r="Y35" s="3708"/>
      <c r="Z35" s="1356" t="str">
        <f t="shared" si="12"/>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3"/>
        <v>宗地开发程度</v>
      </c>
      <c r="R36" s="701" t="s">
        <v>14</v>
      </c>
      <c r="S36" s="702">
        <f t="shared" si="9"/>
        <v>100</v>
      </c>
      <c r="T36" s="701" t="s">
        <v>14</v>
      </c>
      <c r="U36" s="702">
        <f t="shared" si="10"/>
        <v>100</v>
      </c>
      <c r="V36" s="701" t="s">
        <v>14</v>
      </c>
      <c r="W36" s="702">
        <f t="shared" si="11"/>
        <v>100</v>
      </c>
      <c r="X36" s="703"/>
      <c r="Y36" s="3708"/>
      <c r="Z36" s="52" t="str">
        <f t="shared" si="12"/>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3"/>
        <v>工程地质条件</v>
      </c>
      <c r="R37" s="705" t="s">
        <v>14</v>
      </c>
      <c r="S37" s="706">
        <f t="shared" si="9"/>
        <v>100</v>
      </c>
      <c r="T37" s="705" t="s">
        <v>14</v>
      </c>
      <c r="U37" s="706">
        <f t="shared" si="10"/>
        <v>100</v>
      </c>
      <c r="V37" s="705" t="s">
        <v>14</v>
      </c>
      <c r="W37" s="706">
        <f t="shared" si="11"/>
        <v>100</v>
      </c>
      <c r="X37" s="1355"/>
      <c r="Y37" s="3708" t="s">
        <v>1696</v>
      </c>
      <c r="Z37" s="1356" t="str">
        <f t="shared" si="12"/>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3"/>
        <v>111</v>
      </c>
      <c r="R38" s="705" t="s">
        <v>14</v>
      </c>
      <c r="S38" s="706">
        <f t="shared" si="9"/>
        <v>100</v>
      </c>
      <c r="T38" s="705" t="s">
        <v>14</v>
      </c>
      <c r="U38" s="706">
        <f t="shared" si="10"/>
        <v>100</v>
      </c>
      <c r="V38" s="705" t="s">
        <v>14</v>
      </c>
      <c r="W38" s="706">
        <f t="shared" si="11"/>
        <v>100</v>
      </c>
      <c r="X38" s="1355"/>
      <c r="Y38" s="3708"/>
      <c r="Z38" s="1356">
        <f t="shared" si="12"/>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3"/>
        <v>111</v>
      </c>
      <c r="R39" s="705" t="s">
        <v>14</v>
      </c>
      <c r="S39" s="706">
        <f t="shared" si="9"/>
        <v>100</v>
      </c>
      <c r="T39" s="705" t="s">
        <v>14</v>
      </c>
      <c r="U39" s="706">
        <f t="shared" si="10"/>
        <v>100</v>
      </c>
      <c r="V39" s="705" t="s">
        <v>14</v>
      </c>
      <c r="W39" s="706">
        <f t="shared" si="11"/>
        <v>100</v>
      </c>
      <c r="X39" s="1355"/>
      <c r="Y39" s="3708"/>
      <c r="Z39" s="1356">
        <f t="shared" si="12"/>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3"/>
        <v>111</v>
      </c>
      <c r="R40" s="708" t="s">
        <v>14</v>
      </c>
      <c r="S40" s="709">
        <f t="shared" si="9"/>
        <v>100</v>
      </c>
      <c r="T40" s="708" t="s">
        <v>14</v>
      </c>
      <c r="U40" s="709">
        <f t="shared" si="10"/>
        <v>100</v>
      </c>
      <c r="V40" s="708" t="s">
        <v>14</v>
      </c>
      <c r="W40" s="709">
        <f t="shared" si="11"/>
        <v>100</v>
      </c>
      <c r="X40" s="710"/>
      <c r="Y40" s="3708"/>
      <c r="Z40" s="711">
        <f t="shared" si="12"/>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1249.6999999999998</v>
      </c>
      <c r="F51" s="639" t="e">
        <f t="shared" ref="F51:F60" si="14">ROUND(B51*E51/10000,0)</f>
        <v>#DIV/0!</v>
      </c>
      <c r="G51" s="3681"/>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5">IF($C$50="北京市系数",I52,J52)</f>
        <v>0.6</v>
      </c>
      <c r="D52" s="945">
        <v>0.25</v>
      </c>
      <c r="E52" s="642"/>
      <c r="F52" s="639" t="e">
        <f t="shared" si="14"/>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6">ROUND($C$43*C53*D53,0)</f>
        <v>#DIV/0!</v>
      </c>
      <c r="C53" s="171">
        <f t="shared" si="15"/>
        <v>0.3</v>
      </c>
      <c r="D53" s="945">
        <v>0.25</v>
      </c>
      <c r="E53" s="642"/>
      <c r="F53" s="639" t="e">
        <f t="shared" si="14"/>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6"/>
        <v>#DIV/0!</v>
      </c>
      <c r="C54" s="171">
        <f t="shared" si="15"/>
        <v>0.25</v>
      </c>
      <c r="D54" s="945">
        <v>0.25</v>
      </c>
      <c r="E54" s="642"/>
      <c r="F54" s="639" t="e">
        <f t="shared" si="14"/>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6"/>
        <v>#DIV/0!</v>
      </c>
      <c r="C56" s="171">
        <f t="shared" si="15"/>
        <v>0</v>
      </c>
      <c r="D56" s="945">
        <v>0.25</v>
      </c>
      <c r="E56" s="217">
        <f>'数据-汇总表'!E11</f>
        <v>0</v>
      </c>
      <c r="F56" s="639" t="e">
        <f t="shared" si="14"/>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6"/>
        <v>#DIV/0!</v>
      </c>
      <c r="C57" s="171">
        <f t="shared" si="15"/>
        <v>0</v>
      </c>
      <c r="D57" s="945">
        <v>0.25</v>
      </c>
      <c r="E57" s="217">
        <f>'数据-汇总表'!E12</f>
        <v>0</v>
      </c>
      <c r="F57" s="639" t="e">
        <f t="shared" si="14"/>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6"/>
        <v>#DIV/0!</v>
      </c>
      <c r="C58" s="171">
        <f t="shared" si="15"/>
        <v>0</v>
      </c>
      <c r="D58" s="945">
        <v>0.25</v>
      </c>
      <c r="E58" s="217">
        <f>'数据-汇总表'!E13</f>
        <v>0</v>
      </c>
      <c r="F58" s="639" t="e">
        <f t="shared" si="14"/>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6"/>
        <v>#DIV/0!</v>
      </c>
      <c r="C59" s="171">
        <f t="shared" si="15"/>
        <v>0.15</v>
      </c>
      <c r="D59" s="945">
        <v>0.25</v>
      </c>
      <c r="E59" s="217">
        <f>'数据-汇总表'!E14</f>
        <v>0</v>
      </c>
      <c r="F59" s="639" t="e">
        <f t="shared" si="14"/>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6"/>
        <v>#DIV/0!</v>
      </c>
      <c r="C60" s="171">
        <f t="shared" si="15"/>
        <v>0</v>
      </c>
      <c r="D60" s="945">
        <v>0.25</v>
      </c>
      <c r="E60" s="217">
        <f>'数据-汇总表'!E15</f>
        <v>0</v>
      </c>
      <c r="F60" s="639" t="e">
        <f t="shared" si="14"/>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7">EDATE(E63,-3)</f>
        <v>44896</v>
      </c>
      <c r="G63" s="692">
        <f t="shared" si="17"/>
        <v>44805</v>
      </c>
      <c r="H63" s="692">
        <f t="shared" si="17"/>
        <v>44713</v>
      </c>
      <c r="I63" s="692">
        <f t="shared" si="17"/>
        <v>44621</v>
      </c>
      <c r="J63" s="692">
        <f t="shared" si="17"/>
        <v>44531</v>
      </c>
      <c r="K63" s="692">
        <f t="shared" si="17"/>
        <v>44440</v>
      </c>
      <c r="L63" s="692">
        <f t="shared" si="17"/>
        <v>44348</v>
      </c>
      <c r="M63" s="692">
        <f t="shared" si="17"/>
        <v>44256</v>
      </c>
      <c r="N63" s="692">
        <f t="shared" si="17"/>
        <v>44166</v>
      </c>
      <c r="O63" s="692">
        <f t="shared" si="17"/>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8">YEAR(D63)&amp;"-"&amp;ROUNDUP(MONTH(D63)/3,0)</f>
        <v>2023-2</v>
      </c>
      <c r="E65" s="1182" t="str">
        <f t="shared" si="18"/>
        <v>2023-1</v>
      </c>
      <c r="F65" s="1182" t="str">
        <f t="shared" si="18"/>
        <v>2022-4</v>
      </c>
      <c r="G65" s="1182" t="str">
        <f t="shared" si="18"/>
        <v>2022-3</v>
      </c>
      <c r="H65" s="1182" t="str">
        <f t="shared" si="18"/>
        <v>2022-2</v>
      </c>
      <c r="I65" s="1182" t="str">
        <f t="shared" si="18"/>
        <v>2022-1</v>
      </c>
      <c r="J65" s="1182" t="str">
        <f t="shared" si="18"/>
        <v>2021-4</v>
      </c>
      <c r="K65" s="1182" t="str">
        <f t="shared" si="18"/>
        <v>2021-3</v>
      </c>
      <c r="L65" s="1182" t="str">
        <f t="shared" si="18"/>
        <v>2021-2</v>
      </c>
      <c r="M65" s="1182" t="str">
        <f t="shared" si="18"/>
        <v>2021-1</v>
      </c>
      <c r="N65" s="1182" t="str">
        <f t="shared" si="18"/>
        <v>2020-4</v>
      </c>
      <c r="O65" s="1182" t="str">
        <f t="shared" si="18"/>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33" t="str">
        <f t="shared" si="24"/>
        <v>(含)-</v>
      </c>
      <c r="L107" s="1333" t="str">
        <f t="shared" si="24"/>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2">D6-$T5</f>
        <v>100</v>
      </c>
      <c r="F6" s="1316">
        <f t="shared" si="2"/>
        <v>100</v>
      </c>
      <c r="G6" s="1316">
        <f t="shared" si="2"/>
        <v>100</v>
      </c>
      <c r="H6" s="1316">
        <f t="shared" si="2"/>
        <v>100</v>
      </c>
      <c r="I6" s="1316">
        <f t="shared" si="2"/>
        <v>100</v>
      </c>
      <c r="J6" s="1316">
        <f t="shared" si="2"/>
        <v>100</v>
      </c>
      <c r="K6" s="1316">
        <f t="shared" si="2"/>
        <v>100</v>
      </c>
      <c r="L6" s="1316">
        <f t="shared" si="2"/>
        <v>100</v>
      </c>
      <c r="M6" s="1316">
        <f t="shared" si="2"/>
        <v>100</v>
      </c>
      <c r="N6" s="1316">
        <f t="shared" si="2"/>
        <v>100</v>
      </c>
      <c r="O6" s="1316">
        <f t="shared" si="2"/>
        <v>100</v>
      </c>
      <c r="P6" s="1316">
        <f t="shared" si="2"/>
        <v>100</v>
      </c>
      <c r="Q6" s="1316">
        <f t="shared" si="2"/>
        <v>100</v>
      </c>
      <c r="R6" s="1316">
        <f t="shared" si="2"/>
        <v>100</v>
      </c>
      <c r="S6" s="1316">
        <f t="shared" si="2"/>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3">D8-$T7</f>
        <v>100</v>
      </c>
      <c r="F8" s="1316">
        <f t="shared" si="3"/>
        <v>100</v>
      </c>
      <c r="G8" s="1316">
        <f t="shared" si="3"/>
        <v>100</v>
      </c>
      <c r="H8" s="1316">
        <f t="shared" si="3"/>
        <v>100</v>
      </c>
      <c r="I8" s="1316">
        <f t="shared" si="3"/>
        <v>100</v>
      </c>
      <c r="J8" s="1316">
        <f t="shared" si="3"/>
        <v>100</v>
      </c>
      <c r="K8" s="1316">
        <f t="shared" si="3"/>
        <v>100</v>
      </c>
      <c r="L8" s="1316">
        <f t="shared" si="3"/>
        <v>100</v>
      </c>
      <c r="M8" s="1316">
        <f t="shared" si="3"/>
        <v>100</v>
      </c>
      <c r="N8" s="1316">
        <f t="shared" si="3"/>
        <v>100</v>
      </c>
      <c r="O8" s="1316">
        <f t="shared" si="3"/>
        <v>100</v>
      </c>
      <c r="P8" s="1316">
        <f t="shared" si="3"/>
        <v>100</v>
      </c>
      <c r="Q8" s="1316">
        <f t="shared" si="3"/>
        <v>100</v>
      </c>
      <c r="R8" s="1316">
        <f t="shared" si="3"/>
        <v>100</v>
      </c>
      <c r="S8" s="1316">
        <f t="shared" si="3"/>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4">D10-$T9</f>
        <v>100</v>
      </c>
      <c r="F10" s="1326">
        <f t="shared" si="4"/>
        <v>100</v>
      </c>
      <c r="G10" s="1326">
        <f t="shared" si="4"/>
        <v>100</v>
      </c>
      <c r="H10" s="1326">
        <f t="shared" si="4"/>
        <v>100</v>
      </c>
      <c r="I10" s="1326">
        <f t="shared" si="4"/>
        <v>100</v>
      </c>
      <c r="J10" s="1326">
        <f t="shared" si="4"/>
        <v>100</v>
      </c>
      <c r="K10" s="1326">
        <f t="shared" si="4"/>
        <v>100</v>
      </c>
      <c r="L10" s="1326">
        <f t="shared" si="4"/>
        <v>100</v>
      </c>
      <c r="M10" s="1326">
        <f t="shared" si="4"/>
        <v>100</v>
      </c>
      <c r="N10" s="1326">
        <f t="shared" si="4"/>
        <v>100</v>
      </c>
      <c r="O10" s="1326">
        <f t="shared" si="4"/>
        <v>100</v>
      </c>
      <c r="P10" s="1326">
        <f t="shared" si="4"/>
        <v>100</v>
      </c>
      <c r="Q10" s="1326">
        <f t="shared" si="4"/>
        <v>100</v>
      </c>
      <c r="R10" s="1326">
        <f t="shared" si="4"/>
        <v>100</v>
      </c>
      <c r="S10" s="1326">
        <f t="shared" si="4"/>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5">D12-$T11</f>
        <v>100</v>
      </c>
      <c r="F12" s="902">
        <f t="shared" si="5"/>
        <v>100</v>
      </c>
      <c r="G12" s="902">
        <f t="shared" si="5"/>
        <v>100</v>
      </c>
      <c r="H12" s="902">
        <f t="shared" si="5"/>
        <v>100</v>
      </c>
      <c r="I12" s="902">
        <f t="shared" si="5"/>
        <v>100</v>
      </c>
      <c r="J12" s="902">
        <f t="shared" si="5"/>
        <v>100</v>
      </c>
      <c r="K12" s="902">
        <f t="shared" si="5"/>
        <v>100</v>
      </c>
      <c r="L12" s="902">
        <f t="shared" si="5"/>
        <v>100</v>
      </c>
      <c r="M12" s="902">
        <f t="shared" si="5"/>
        <v>100</v>
      </c>
      <c r="N12" s="902">
        <f t="shared" si="5"/>
        <v>100</v>
      </c>
      <c r="O12" s="902">
        <f t="shared" si="5"/>
        <v>100</v>
      </c>
      <c r="P12" s="902">
        <f t="shared" si="5"/>
        <v>100</v>
      </c>
      <c r="Q12" s="902">
        <f t="shared" si="5"/>
        <v>100</v>
      </c>
      <c r="R12" s="902">
        <f>Q12-$T11</f>
        <v>100</v>
      </c>
      <c r="S12" s="902">
        <f t="shared" si="5"/>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6">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6"/>
        <v>0</v>
      </c>
    </row>
    <row r="26" spans="1:45">
      <c r="A26" s="150"/>
      <c r="B26" s="54"/>
      <c r="C26" s="21">
        <f t="shared" ref="C26:C89" si="7">IF(B26="",1,(LOOKUP(B26,$3:$3,$4:$4)-LOOKUP($B$24,$3:$3,$4:$4)+100)/100)</f>
        <v>1</v>
      </c>
      <c r="D26" s="667"/>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t="shared" ref="R26:R89" si="15">IF(B26="",0,ROUND($R$24*C26*E26*G26*I26*K26*M26*O26*Q26,0))</f>
        <v>0</v>
      </c>
      <c r="S26" s="316">
        <f t="shared" si="6"/>
        <v>0</v>
      </c>
    </row>
    <row r="27" spans="1:45">
      <c r="A27" s="150"/>
      <c r="B27" s="54"/>
      <c r="C27" s="21">
        <f t="shared" si="7"/>
        <v>1</v>
      </c>
      <c r="D27" s="667"/>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t="shared" si="15"/>
        <v>0</v>
      </c>
      <c r="S27" s="316">
        <f t="shared" si="6"/>
        <v>0</v>
      </c>
    </row>
    <row r="28" spans="1:45">
      <c r="A28" s="150"/>
      <c r="B28" s="54"/>
      <c r="C28" s="21">
        <f t="shared" si="7"/>
        <v>1</v>
      </c>
      <c r="D28" s="667"/>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t="shared" si="15"/>
        <v>0</v>
      </c>
      <c r="S28" s="316">
        <f t="shared" si="6"/>
        <v>0</v>
      </c>
    </row>
    <row r="29" spans="1:45">
      <c r="A29" s="150"/>
      <c r="B29" s="54"/>
      <c r="C29" s="21">
        <f t="shared" si="7"/>
        <v>1</v>
      </c>
      <c r="D29" s="667"/>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si="15"/>
        <v>0</v>
      </c>
      <c r="S29" s="316">
        <f t="shared" si="6"/>
        <v>0</v>
      </c>
    </row>
    <row r="30" spans="1:45">
      <c r="A30" s="150"/>
      <c r="B30" s="54"/>
      <c r="C30" s="21">
        <f t="shared" si="7"/>
        <v>1</v>
      </c>
      <c r="D30" s="667"/>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si="15"/>
        <v>0</v>
      </c>
      <c r="S30" s="316">
        <f t="shared" si="6"/>
        <v>0</v>
      </c>
    </row>
    <row r="31" spans="1:45">
      <c r="A31" s="150"/>
      <c r="B31" s="54"/>
      <c r="C31" s="21">
        <f t="shared" si="7"/>
        <v>1</v>
      </c>
      <c r="D31" s="667"/>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si="15"/>
        <v>0</v>
      </c>
      <c r="S31" s="316">
        <f t="shared" si="6"/>
        <v>0</v>
      </c>
    </row>
    <row r="32" spans="1:45">
      <c r="A32" s="150"/>
      <c r="B32" s="54"/>
      <c r="C32" s="21">
        <f t="shared" si="7"/>
        <v>1</v>
      </c>
      <c r="D32" s="667"/>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si="15"/>
        <v>0</v>
      </c>
      <c r="S32" s="316">
        <f t="shared" si="6"/>
        <v>0</v>
      </c>
    </row>
    <row r="33" spans="1:19">
      <c r="A33" s="150"/>
      <c r="B33" s="54"/>
      <c r="C33" s="21">
        <f t="shared" si="7"/>
        <v>1</v>
      </c>
      <c r="D33" s="667"/>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si="15"/>
        <v>0</v>
      </c>
      <c r="S33" s="316">
        <f t="shared" si="6"/>
        <v>0</v>
      </c>
    </row>
    <row r="34" spans="1:19">
      <c r="A34" s="150"/>
      <c r="B34" s="54"/>
      <c r="C34" s="21">
        <f t="shared" si="7"/>
        <v>1</v>
      </c>
      <c r="D34" s="667"/>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si="15"/>
        <v>0</v>
      </c>
      <c r="S34" s="316">
        <f t="shared" si="6"/>
        <v>0</v>
      </c>
    </row>
    <row r="35" spans="1:19">
      <c r="A35" s="150"/>
      <c r="B35" s="54"/>
      <c r="C35" s="21">
        <f t="shared" si="7"/>
        <v>1</v>
      </c>
      <c r="D35" s="667"/>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si="15"/>
        <v>0</v>
      </c>
      <c r="S35" s="316">
        <f t="shared" si="6"/>
        <v>0</v>
      </c>
    </row>
    <row r="36" spans="1:19">
      <c r="A36" s="150"/>
      <c r="B36" s="54"/>
      <c r="C36" s="21">
        <f t="shared" si="7"/>
        <v>1</v>
      </c>
      <c r="D36" s="667"/>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si="15"/>
        <v>0</v>
      </c>
      <c r="S36" s="316">
        <f t="shared" si="6"/>
        <v>0</v>
      </c>
    </row>
    <row r="37" spans="1:19">
      <c r="A37" s="150"/>
      <c r="B37" s="54"/>
      <c r="C37" s="21">
        <f t="shared" si="7"/>
        <v>1</v>
      </c>
      <c r="D37" s="667"/>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si="15"/>
        <v>0</v>
      </c>
      <c r="S37" s="316">
        <f t="shared" si="6"/>
        <v>0</v>
      </c>
    </row>
    <row r="38" spans="1:19">
      <c r="A38" s="150"/>
      <c r="B38" s="54"/>
      <c r="C38" s="21">
        <f t="shared" si="7"/>
        <v>1</v>
      </c>
      <c r="D38" s="667"/>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si="15"/>
        <v>0</v>
      </c>
      <c r="S38" s="316">
        <f t="shared" si="6"/>
        <v>0</v>
      </c>
    </row>
    <row r="39" spans="1:19">
      <c r="A39" s="150"/>
      <c r="B39" s="54"/>
      <c r="C39" s="21">
        <f t="shared" si="7"/>
        <v>1</v>
      </c>
      <c r="D39" s="667"/>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si="15"/>
        <v>0</v>
      </c>
      <c r="S39" s="316">
        <f t="shared" si="6"/>
        <v>0</v>
      </c>
    </row>
    <row r="40" spans="1:19">
      <c r="A40" s="150"/>
      <c r="B40" s="54"/>
      <c r="C40" s="21">
        <f t="shared" si="7"/>
        <v>1</v>
      </c>
      <c r="D40" s="667"/>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si="15"/>
        <v>0</v>
      </c>
      <c r="S40" s="316">
        <f t="shared" si="6"/>
        <v>0</v>
      </c>
    </row>
    <row r="41" spans="1:19">
      <c r="A41" s="150"/>
      <c r="B41" s="54"/>
      <c r="C41" s="21">
        <f t="shared" si="7"/>
        <v>1</v>
      </c>
      <c r="D41" s="667"/>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si="15"/>
        <v>0</v>
      </c>
      <c r="S41" s="316">
        <f t="shared" si="6"/>
        <v>0</v>
      </c>
    </row>
    <row r="42" spans="1:19">
      <c r="A42" s="150"/>
      <c r="B42" s="54"/>
      <c r="C42" s="21">
        <f t="shared" si="7"/>
        <v>1</v>
      </c>
      <c r="D42" s="667"/>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si="15"/>
        <v>0</v>
      </c>
      <c r="S42" s="316">
        <f t="shared" si="6"/>
        <v>0</v>
      </c>
    </row>
    <row r="43" spans="1:19">
      <c r="A43" s="150"/>
      <c r="B43" s="54"/>
      <c r="C43" s="21">
        <f t="shared" si="7"/>
        <v>1</v>
      </c>
      <c r="D43" s="667"/>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si="15"/>
        <v>0</v>
      </c>
      <c r="S43" s="316">
        <f t="shared" si="6"/>
        <v>0</v>
      </c>
    </row>
    <row r="44" spans="1:19">
      <c r="A44" s="150"/>
      <c r="B44" s="54"/>
      <c r="C44" s="21">
        <f t="shared" si="7"/>
        <v>1</v>
      </c>
      <c r="D44" s="667"/>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si="15"/>
        <v>0</v>
      </c>
      <c r="S44" s="316">
        <f t="shared" si="6"/>
        <v>0</v>
      </c>
    </row>
    <row r="45" spans="1:19">
      <c r="A45" s="150"/>
      <c r="B45" s="54"/>
      <c r="C45" s="21">
        <f t="shared" si="7"/>
        <v>1</v>
      </c>
      <c r="D45" s="667"/>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si="15"/>
        <v>0</v>
      </c>
      <c r="S45" s="316">
        <f t="shared" si="6"/>
        <v>0</v>
      </c>
    </row>
    <row r="46" spans="1:19">
      <c r="A46" s="150"/>
      <c r="B46" s="54"/>
      <c r="C46" s="21">
        <f t="shared" si="7"/>
        <v>1</v>
      </c>
      <c r="D46" s="667"/>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si="15"/>
        <v>0</v>
      </c>
      <c r="S46" s="316">
        <f t="shared" si="6"/>
        <v>0</v>
      </c>
    </row>
    <row r="47" spans="1:19">
      <c r="A47" s="150"/>
      <c r="B47" s="54"/>
      <c r="C47" s="21">
        <f t="shared" si="7"/>
        <v>1</v>
      </c>
      <c r="D47" s="667"/>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si="15"/>
        <v>0</v>
      </c>
      <c r="S47" s="316">
        <f t="shared" si="6"/>
        <v>0</v>
      </c>
    </row>
    <row r="48" spans="1:19">
      <c r="A48" s="150"/>
      <c r="B48" s="54"/>
      <c r="C48" s="21">
        <f t="shared" si="7"/>
        <v>1</v>
      </c>
      <c r="D48" s="667"/>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si="15"/>
        <v>0</v>
      </c>
      <c r="S48" s="316">
        <f t="shared" si="6"/>
        <v>0</v>
      </c>
    </row>
    <row r="49" spans="1:19">
      <c r="A49" s="150"/>
      <c r="B49" s="54"/>
      <c r="C49" s="21">
        <f t="shared" si="7"/>
        <v>1</v>
      </c>
      <c r="D49" s="667"/>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si="15"/>
        <v>0</v>
      </c>
      <c r="S49" s="316">
        <f t="shared" si="6"/>
        <v>0</v>
      </c>
    </row>
    <row r="50" spans="1:19">
      <c r="A50" s="150"/>
      <c r="B50" s="54"/>
      <c r="C50" s="21">
        <f t="shared" si="7"/>
        <v>1</v>
      </c>
      <c r="D50" s="667"/>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si="15"/>
        <v>0</v>
      </c>
      <c r="S50" s="316">
        <f t="shared" si="6"/>
        <v>0</v>
      </c>
    </row>
    <row r="51" spans="1:19">
      <c r="A51" s="150"/>
      <c r="B51" s="54"/>
      <c r="C51" s="21">
        <f t="shared" si="7"/>
        <v>1</v>
      </c>
      <c r="D51" s="667"/>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si="15"/>
        <v>0</v>
      </c>
      <c r="S51" s="316">
        <f t="shared" si="6"/>
        <v>0</v>
      </c>
    </row>
    <row r="52" spans="1:19">
      <c r="A52" s="150"/>
      <c r="B52" s="54"/>
      <c r="C52" s="21">
        <f t="shared" si="7"/>
        <v>1</v>
      </c>
      <c r="D52" s="667"/>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si="15"/>
        <v>0</v>
      </c>
      <c r="S52" s="316">
        <f t="shared" si="6"/>
        <v>0</v>
      </c>
    </row>
    <row r="53" spans="1:19">
      <c r="A53" s="150"/>
      <c r="B53" s="54"/>
      <c r="C53" s="21">
        <f t="shared" si="7"/>
        <v>1</v>
      </c>
      <c r="D53" s="667"/>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si="15"/>
        <v>0</v>
      </c>
      <c r="S53" s="316">
        <f t="shared" si="6"/>
        <v>0</v>
      </c>
    </row>
    <row r="54" spans="1:19">
      <c r="A54" s="150"/>
      <c r="B54" s="54"/>
      <c r="C54" s="21">
        <f t="shared" si="7"/>
        <v>1</v>
      </c>
      <c r="D54" s="667"/>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si="15"/>
        <v>0</v>
      </c>
      <c r="S54" s="316">
        <f t="shared" si="6"/>
        <v>0</v>
      </c>
    </row>
    <row r="55" spans="1:19">
      <c r="A55" s="150"/>
      <c r="B55" s="54"/>
      <c r="C55" s="21">
        <f t="shared" si="7"/>
        <v>1</v>
      </c>
      <c r="D55" s="667"/>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si="15"/>
        <v>0</v>
      </c>
      <c r="S55" s="316">
        <f t="shared" ref="S55:S77" si="16">ROUND(R55*B55/10000,0)</f>
        <v>0</v>
      </c>
    </row>
    <row r="56" spans="1:19">
      <c r="A56" s="150"/>
      <c r="B56" s="54"/>
      <c r="C56" s="21">
        <f t="shared" si="7"/>
        <v>1</v>
      </c>
      <c r="D56" s="667"/>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si="15"/>
        <v>0</v>
      </c>
      <c r="S56" s="316">
        <f t="shared" si="16"/>
        <v>0</v>
      </c>
    </row>
    <row r="57" spans="1:19">
      <c r="A57" s="150"/>
      <c r="B57" s="54"/>
      <c r="C57" s="21">
        <f t="shared" si="7"/>
        <v>1</v>
      </c>
      <c r="D57" s="667"/>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si="15"/>
        <v>0</v>
      </c>
      <c r="S57" s="316">
        <f t="shared" si="16"/>
        <v>0</v>
      </c>
    </row>
    <row r="58" spans="1:19">
      <c r="A58" s="150"/>
      <c r="B58" s="54"/>
      <c r="C58" s="21">
        <f t="shared" si="7"/>
        <v>1</v>
      </c>
      <c r="D58" s="667"/>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si="15"/>
        <v>0</v>
      </c>
      <c r="S58" s="316">
        <f t="shared" si="16"/>
        <v>0</v>
      </c>
    </row>
    <row r="59" spans="1:19">
      <c r="A59" s="150"/>
      <c r="B59" s="54"/>
      <c r="C59" s="21">
        <f t="shared" si="7"/>
        <v>1</v>
      </c>
      <c r="D59" s="667"/>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si="15"/>
        <v>0</v>
      </c>
      <c r="S59" s="316">
        <f t="shared" si="16"/>
        <v>0</v>
      </c>
    </row>
    <row r="60" spans="1:19">
      <c r="A60" s="150"/>
      <c r="B60" s="54"/>
      <c r="C60" s="21">
        <f t="shared" si="7"/>
        <v>1</v>
      </c>
      <c r="D60" s="667"/>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si="15"/>
        <v>0</v>
      </c>
      <c r="S60" s="316">
        <f t="shared" si="16"/>
        <v>0</v>
      </c>
    </row>
    <row r="61" spans="1:19">
      <c r="A61" s="150"/>
      <c r="B61" s="54"/>
      <c r="C61" s="21">
        <f t="shared" si="7"/>
        <v>1</v>
      </c>
      <c r="D61" s="667"/>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si="15"/>
        <v>0</v>
      </c>
      <c r="S61" s="316">
        <f t="shared" si="16"/>
        <v>0</v>
      </c>
    </row>
    <row r="62" spans="1:19">
      <c r="A62" s="150"/>
      <c r="B62" s="54"/>
      <c r="C62" s="21">
        <f t="shared" si="7"/>
        <v>1</v>
      </c>
      <c r="D62" s="667"/>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si="15"/>
        <v>0</v>
      </c>
      <c r="S62" s="316">
        <f t="shared" si="16"/>
        <v>0</v>
      </c>
    </row>
    <row r="63" spans="1:19">
      <c r="A63" s="150"/>
      <c r="B63" s="54"/>
      <c r="C63" s="21">
        <f t="shared" si="7"/>
        <v>1</v>
      </c>
      <c r="D63" s="667"/>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si="15"/>
        <v>0</v>
      </c>
      <c r="S63" s="316">
        <f t="shared" si="16"/>
        <v>0</v>
      </c>
    </row>
    <row r="64" spans="1:19">
      <c r="A64" s="150"/>
      <c r="B64" s="54"/>
      <c r="C64" s="21">
        <f t="shared" si="7"/>
        <v>1</v>
      </c>
      <c r="D64" s="667"/>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si="15"/>
        <v>0</v>
      </c>
      <c r="S64" s="316">
        <f t="shared" si="16"/>
        <v>0</v>
      </c>
    </row>
    <row r="65" spans="1:19">
      <c r="A65" s="150"/>
      <c r="B65" s="54"/>
      <c r="C65" s="21">
        <f t="shared" si="7"/>
        <v>1</v>
      </c>
      <c r="D65" s="667"/>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si="15"/>
        <v>0</v>
      </c>
      <c r="S65" s="316">
        <f t="shared" si="16"/>
        <v>0</v>
      </c>
    </row>
    <row r="66" spans="1:19">
      <c r="A66" s="150"/>
      <c r="B66" s="54"/>
      <c r="C66" s="21">
        <f t="shared" si="7"/>
        <v>1</v>
      </c>
      <c r="D66" s="667"/>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si="15"/>
        <v>0</v>
      </c>
      <c r="S66" s="316">
        <f t="shared" si="16"/>
        <v>0</v>
      </c>
    </row>
    <row r="67" spans="1:19">
      <c r="A67" s="150"/>
      <c r="B67" s="54"/>
      <c r="C67" s="21">
        <f t="shared" si="7"/>
        <v>1</v>
      </c>
      <c r="D67" s="667"/>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si="15"/>
        <v>0</v>
      </c>
      <c r="S67" s="316">
        <f t="shared" si="16"/>
        <v>0</v>
      </c>
    </row>
    <row r="68" spans="1:19">
      <c r="A68" s="150"/>
      <c r="B68" s="54"/>
      <c r="C68" s="21">
        <f t="shared" si="7"/>
        <v>1</v>
      </c>
      <c r="D68" s="667"/>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si="15"/>
        <v>0</v>
      </c>
      <c r="S68" s="316">
        <f t="shared" si="16"/>
        <v>0</v>
      </c>
    </row>
    <row r="69" spans="1:19">
      <c r="A69" s="150"/>
      <c r="B69" s="54"/>
      <c r="C69" s="21">
        <f t="shared" si="7"/>
        <v>1</v>
      </c>
      <c r="D69" s="667"/>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si="15"/>
        <v>0</v>
      </c>
      <c r="S69" s="316">
        <f t="shared" si="16"/>
        <v>0</v>
      </c>
    </row>
    <row r="70" spans="1:19">
      <c r="A70" s="150"/>
      <c r="B70" s="54"/>
      <c r="C70" s="21">
        <f t="shared" si="7"/>
        <v>1</v>
      </c>
      <c r="D70" s="667"/>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si="15"/>
        <v>0</v>
      </c>
      <c r="S70" s="316">
        <f t="shared" si="16"/>
        <v>0</v>
      </c>
    </row>
    <row r="71" spans="1:19">
      <c r="A71" s="150"/>
      <c r="B71" s="54"/>
      <c r="C71" s="21">
        <f t="shared" si="7"/>
        <v>1</v>
      </c>
      <c r="D71" s="667"/>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si="15"/>
        <v>0</v>
      </c>
      <c r="S71" s="316">
        <f t="shared" si="16"/>
        <v>0</v>
      </c>
    </row>
    <row r="72" spans="1:19">
      <c r="A72" s="150"/>
      <c r="B72" s="54"/>
      <c r="C72" s="21">
        <f t="shared" si="7"/>
        <v>1</v>
      </c>
      <c r="D72" s="667"/>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si="15"/>
        <v>0</v>
      </c>
      <c r="S72" s="316">
        <f t="shared" si="16"/>
        <v>0</v>
      </c>
    </row>
    <row r="73" spans="1:19">
      <c r="A73" s="150"/>
      <c r="B73" s="54"/>
      <c r="C73" s="21">
        <f t="shared" si="7"/>
        <v>1</v>
      </c>
      <c r="D73" s="667"/>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si="15"/>
        <v>0</v>
      </c>
      <c r="S73" s="316">
        <f t="shared" si="16"/>
        <v>0</v>
      </c>
    </row>
    <row r="74" spans="1:19">
      <c r="A74" s="150"/>
      <c r="B74" s="54"/>
      <c r="C74" s="21">
        <f t="shared" si="7"/>
        <v>1</v>
      </c>
      <c r="D74" s="667"/>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si="15"/>
        <v>0</v>
      </c>
      <c r="S74" s="316">
        <f t="shared" si="16"/>
        <v>0</v>
      </c>
    </row>
    <row r="75" spans="1:19">
      <c r="A75" s="150"/>
      <c r="B75" s="54"/>
      <c r="C75" s="21">
        <f t="shared" si="7"/>
        <v>1</v>
      </c>
      <c r="D75" s="667"/>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si="15"/>
        <v>0</v>
      </c>
      <c r="S75" s="316">
        <f t="shared" si="16"/>
        <v>0</v>
      </c>
    </row>
    <row r="76" spans="1:19">
      <c r="A76" s="150"/>
      <c r="B76" s="54"/>
      <c r="C76" s="21">
        <f t="shared" si="7"/>
        <v>1</v>
      </c>
      <c r="D76" s="667"/>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si="15"/>
        <v>0</v>
      </c>
      <c r="S76" s="316">
        <f t="shared" si="16"/>
        <v>0</v>
      </c>
    </row>
    <row r="77" spans="1:19">
      <c r="A77" s="150"/>
      <c r="B77" s="54"/>
      <c r="C77" s="21">
        <f t="shared" si="7"/>
        <v>1</v>
      </c>
      <c r="D77" s="667"/>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si="15"/>
        <v>0</v>
      </c>
      <c r="S77" s="316">
        <f t="shared" si="16"/>
        <v>0</v>
      </c>
    </row>
    <row r="78" spans="1:19">
      <c r="A78" s="150"/>
      <c r="B78" s="54"/>
      <c r="C78" s="21">
        <f t="shared" si="7"/>
        <v>1</v>
      </c>
      <c r="D78" s="667"/>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si="15"/>
        <v>0</v>
      </c>
      <c r="S78" s="316">
        <f t="shared" ref="S78:S122" si="17">ROUND(R78*B78/10000,0)</f>
        <v>0</v>
      </c>
    </row>
    <row r="79" spans="1:19">
      <c r="A79" s="150"/>
      <c r="B79" s="54"/>
      <c r="C79" s="21">
        <f t="shared" si="7"/>
        <v>1</v>
      </c>
      <c r="D79" s="667"/>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si="15"/>
        <v>0</v>
      </c>
      <c r="S79" s="316">
        <f t="shared" si="17"/>
        <v>0</v>
      </c>
    </row>
    <row r="80" spans="1:19">
      <c r="A80" s="150"/>
      <c r="B80" s="54"/>
      <c r="C80" s="21">
        <f t="shared" si="7"/>
        <v>1</v>
      </c>
      <c r="D80" s="667"/>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si="15"/>
        <v>0</v>
      </c>
      <c r="S80" s="316">
        <f t="shared" si="17"/>
        <v>0</v>
      </c>
    </row>
    <row r="81" spans="1:19">
      <c r="A81" s="150"/>
      <c r="B81" s="54"/>
      <c r="C81" s="21">
        <f t="shared" si="7"/>
        <v>1</v>
      </c>
      <c r="D81" s="667"/>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si="15"/>
        <v>0</v>
      </c>
      <c r="S81" s="316">
        <f t="shared" si="17"/>
        <v>0</v>
      </c>
    </row>
    <row r="82" spans="1:19">
      <c r="A82" s="150"/>
      <c r="B82" s="54"/>
      <c r="C82" s="21">
        <f t="shared" si="7"/>
        <v>1</v>
      </c>
      <c r="D82" s="667"/>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si="15"/>
        <v>0</v>
      </c>
      <c r="S82" s="316">
        <f t="shared" si="17"/>
        <v>0</v>
      </c>
    </row>
    <row r="83" spans="1:19">
      <c r="A83" s="150"/>
      <c r="B83" s="54"/>
      <c r="C83" s="21">
        <f t="shared" si="7"/>
        <v>1</v>
      </c>
      <c r="D83" s="667"/>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si="15"/>
        <v>0</v>
      </c>
      <c r="S83" s="316">
        <f t="shared" si="17"/>
        <v>0</v>
      </c>
    </row>
    <row r="84" spans="1:19">
      <c r="A84" s="150"/>
      <c r="B84" s="54"/>
      <c r="C84" s="21">
        <f t="shared" si="7"/>
        <v>1</v>
      </c>
      <c r="D84" s="667"/>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si="15"/>
        <v>0</v>
      </c>
      <c r="S84" s="316">
        <f t="shared" si="17"/>
        <v>0</v>
      </c>
    </row>
    <row r="85" spans="1:19">
      <c r="A85" s="150"/>
      <c r="B85" s="54"/>
      <c r="C85" s="21">
        <f t="shared" si="7"/>
        <v>1</v>
      </c>
      <c r="D85" s="667"/>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si="15"/>
        <v>0</v>
      </c>
      <c r="S85" s="316">
        <f t="shared" si="17"/>
        <v>0</v>
      </c>
    </row>
    <row r="86" spans="1:19">
      <c r="A86" s="150"/>
      <c r="B86" s="54"/>
      <c r="C86" s="21">
        <f t="shared" si="7"/>
        <v>1</v>
      </c>
      <c r="D86" s="667"/>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si="15"/>
        <v>0</v>
      </c>
      <c r="S86" s="316">
        <f t="shared" si="17"/>
        <v>0</v>
      </c>
    </row>
    <row r="87" spans="1:19">
      <c r="A87" s="150"/>
      <c r="B87" s="54"/>
      <c r="C87" s="21">
        <f t="shared" si="7"/>
        <v>1</v>
      </c>
      <c r="D87" s="667"/>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si="15"/>
        <v>0</v>
      </c>
      <c r="S87" s="316">
        <f t="shared" si="17"/>
        <v>0</v>
      </c>
    </row>
    <row r="88" spans="1:19">
      <c r="A88" s="150"/>
      <c r="B88" s="54"/>
      <c r="C88" s="21">
        <f t="shared" si="7"/>
        <v>1</v>
      </c>
      <c r="D88" s="667"/>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si="15"/>
        <v>0</v>
      </c>
      <c r="S88" s="316">
        <f t="shared" si="17"/>
        <v>0</v>
      </c>
    </row>
    <row r="89" spans="1:19">
      <c r="A89" s="150"/>
      <c r="B89" s="54"/>
      <c r="C89" s="21">
        <f t="shared" si="7"/>
        <v>1</v>
      </c>
      <c r="D89" s="667"/>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si="15"/>
        <v>0</v>
      </c>
      <c r="S89" s="316">
        <f t="shared" si="17"/>
        <v>0</v>
      </c>
    </row>
    <row r="90" spans="1:19">
      <c r="A90" s="150"/>
      <c r="B90" s="54"/>
      <c r="C90" s="21">
        <f t="shared" ref="C90:C153" si="18">IF(B90="",1,(LOOKUP(B90,$3:$3,$4:$4)-LOOKUP($B$24,$3:$3,$4:$4)+100)/100)</f>
        <v>1</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si="26">IF(B90="",0,ROUND($R$24*C90*E90*G90*I90*K90*M90*O90*Q90,0))</f>
        <v>0</v>
      </c>
      <c r="S90" s="316">
        <f t="shared" si="17"/>
        <v>0</v>
      </c>
    </row>
    <row r="91" spans="1:19">
      <c r="A91" s="150"/>
      <c r="B91" s="54"/>
      <c r="C91" s="21">
        <f t="shared" si="18"/>
        <v>1</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si="26"/>
        <v>0</v>
      </c>
      <c r="S91" s="316">
        <f t="shared" si="17"/>
        <v>0</v>
      </c>
    </row>
    <row r="92" spans="1:19">
      <c r="A92" s="150"/>
      <c r="B92" s="54"/>
      <c r="C92" s="21">
        <f t="shared" si="18"/>
        <v>1</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si="26"/>
        <v>0</v>
      </c>
      <c r="S92" s="316">
        <f t="shared" si="17"/>
        <v>0</v>
      </c>
    </row>
    <row r="93" spans="1:19">
      <c r="A93" s="150"/>
      <c r="B93" s="54"/>
      <c r="C93" s="21">
        <f t="shared" si="18"/>
        <v>1</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si="26"/>
        <v>0</v>
      </c>
      <c r="S93" s="316">
        <f t="shared" si="17"/>
        <v>0</v>
      </c>
    </row>
    <row r="94" spans="1:19">
      <c r="A94" s="150"/>
      <c r="B94" s="54"/>
      <c r="C94" s="21">
        <f t="shared" si="18"/>
        <v>1</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si="26"/>
        <v>0</v>
      </c>
      <c r="S94" s="316">
        <f t="shared" si="17"/>
        <v>0</v>
      </c>
    </row>
    <row r="95" spans="1:19">
      <c r="A95" s="150"/>
      <c r="B95" s="54"/>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si="26"/>
        <v>0</v>
      </c>
      <c r="S95" s="316">
        <f t="shared" si="17"/>
        <v>0</v>
      </c>
    </row>
    <row r="96" spans="1:19">
      <c r="A96" s="150"/>
      <c r="B96" s="54"/>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si="26"/>
        <v>0</v>
      </c>
      <c r="S96" s="316">
        <f t="shared" si="17"/>
        <v>0</v>
      </c>
    </row>
    <row r="97" spans="1:19">
      <c r="A97" s="150"/>
      <c r="B97" s="54"/>
      <c r="C97" s="21">
        <f t="shared" si="18"/>
        <v>1</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si="26"/>
        <v>0</v>
      </c>
      <c r="S97" s="316">
        <f t="shared" si="17"/>
        <v>0</v>
      </c>
    </row>
    <row r="98" spans="1:19">
      <c r="A98" s="150"/>
      <c r="B98" s="54"/>
      <c r="C98" s="21">
        <f t="shared" si="18"/>
        <v>1</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si="26"/>
        <v>0</v>
      </c>
      <c r="S98" s="316">
        <f t="shared" si="17"/>
        <v>0</v>
      </c>
    </row>
    <row r="99" spans="1:19">
      <c r="A99" s="150"/>
      <c r="B99" s="54"/>
      <c r="C99" s="21">
        <f t="shared" si="18"/>
        <v>1</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si="26"/>
        <v>0</v>
      </c>
      <c r="S99" s="316">
        <f t="shared" si="17"/>
        <v>0</v>
      </c>
    </row>
    <row r="100" spans="1:19">
      <c r="A100" s="150"/>
      <c r="B100" s="54"/>
      <c r="C100" s="21">
        <f t="shared" si="18"/>
        <v>1</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si="26"/>
        <v>0</v>
      </c>
      <c r="S100" s="316">
        <f t="shared" si="17"/>
        <v>0</v>
      </c>
    </row>
    <row r="101" spans="1:19">
      <c r="A101" s="150"/>
      <c r="B101" s="54"/>
      <c r="C101" s="21">
        <f t="shared" si="18"/>
        <v>1</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si="26"/>
        <v>0</v>
      </c>
      <c r="S101" s="316">
        <f t="shared" si="17"/>
        <v>0</v>
      </c>
    </row>
    <row r="102" spans="1:19">
      <c r="A102" s="150"/>
      <c r="B102" s="54"/>
      <c r="C102" s="21">
        <f t="shared" si="18"/>
        <v>1</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si="26"/>
        <v>0</v>
      </c>
      <c r="S102" s="316">
        <f t="shared" si="17"/>
        <v>0</v>
      </c>
    </row>
    <row r="103" spans="1:19">
      <c r="A103" s="150"/>
      <c r="B103" s="54"/>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si="26"/>
        <v>0</v>
      </c>
      <c r="S103" s="316">
        <f t="shared" si="17"/>
        <v>0</v>
      </c>
    </row>
    <row r="104" spans="1:19">
      <c r="A104" s="150"/>
      <c r="B104" s="54"/>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si="26"/>
        <v>0</v>
      </c>
      <c r="S104" s="316">
        <f t="shared" si="17"/>
        <v>0</v>
      </c>
    </row>
    <row r="105" spans="1:19">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19">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19">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19">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19">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19">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19">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19">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ref="S123:S186" si="27">ROUND(R123*B123/10000,0)</f>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2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2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2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2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2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2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2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2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2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2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2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2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2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2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2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2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2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2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2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2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2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2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2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2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2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2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2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2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si="27"/>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ref="S187:S222" si="37">ROUND(R187*B187/10000,0)</f>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3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3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3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3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3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3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3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3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3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3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3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3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3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3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3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3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3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3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3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3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3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3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3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3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3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3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3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3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si="37"/>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ref="S223:S286" si="47">ROUND(R223*B223/10000,0)</f>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4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4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4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4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4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4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4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4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4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4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4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4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4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4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4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4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4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4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4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4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4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4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4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4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4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4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4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4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4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4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4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4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4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4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4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4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4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4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4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4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4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4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4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4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4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4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4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4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4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4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4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4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4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4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4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4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si="47"/>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ref="S287:S320" si="57">ROUND(R287*B287/10000,0)</f>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5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5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5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5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5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5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5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5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5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5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5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5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5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5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5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5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5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5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5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5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5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5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5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5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5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5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5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5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5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5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5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5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5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ref="S321:S384" si="58">ROUND(R321*B321/10000,0)</f>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58"/>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58"/>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58"/>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58"/>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58"/>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58"/>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58"/>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58"/>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58"/>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58"/>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58"/>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58"/>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58"/>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58"/>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58"/>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58"/>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58"/>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58"/>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58"/>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58"/>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58"/>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58"/>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si="58"/>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8"/>
        <v>0</v>
      </c>
    </row>
    <row r="346" spans="1:19">
      <c r="A346" s="150"/>
      <c r="B346" s="54"/>
      <c r="C346" s="21">
        <f t="shared" ref="C346:C409" si="59">IF(B346="",1,(LOOKUP(B346,$3:$3,$4:$4)-LOOKUP($B$24,$3:$3,$4:$4)+100)/100)</f>
        <v>1</v>
      </c>
      <c r="D346" s="667"/>
      <c r="E346" s="21">
        <f t="shared" ref="E346:E409" si="60">(SUMIF($5:$5,D346,$6:$6)-SUMIF($5:$5,$D$24,$6:$6)+100)/100</f>
        <v>1</v>
      </c>
      <c r="F346" s="667"/>
      <c r="G346" s="21">
        <f t="shared" ref="G346:G409" si="61">(SUMIF($7:$7,F346,$8:$8)-SUMIF($7:$7,$F$24,$8:$8)+100)/100</f>
        <v>1</v>
      </c>
      <c r="H346" s="667"/>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c r="Q346" s="21">
        <f t="shared" ref="Q346:Q409" si="66">(SUMIF($17:$17,P346,$18:$18)-SUMIF($17:$17,$P$24,$18:$18)+100)/100</f>
        <v>1</v>
      </c>
      <c r="R346" s="663">
        <f t="shared" ref="R346:R409" si="67">IF(B346="",0,ROUND($R$24*C346*E346*G346*I346*K346*M346*O346*Q346,0))</f>
        <v>0</v>
      </c>
      <c r="S346" s="316">
        <f t="shared" si="58"/>
        <v>0</v>
      </c>
    </row>
    <row r="347" spans="1:19">
      <c r="A347" s="150"/>
      <c r="B347" s="54"/>
      <c r="C347" s="21">
        <f t="shared" si="59"/>
        <v>1</v>
      </c>
      <c r="D347" s="667"/>
      <c r="E347" s="21">
        <f t="shared" si="60"/>
        <v>1</v>
      </c>
      <c r="F347" s="667"/>
      <c r="G347" s="21">
        <f t="shared" si="61"/>
        <v>1</v>
      </c>
      <c r="H347" s="667"/>
      <c r="I347" s="21">
        <f t="shared" si="62"/>
        <v>1</v>
      </c>
      <c r="J347" s="667"/>
      <c r="K347" s="21">
        <f t="shared" si="63"/>
        <v>1</v>
      </c>
      <c r="L347" s="667"/>
      <c r="M347" s="21">
        <f t="shared" si="64"/>
        <v>1</v>
      </c>
      <c r="N347" s="667"/>
      <c r="O347" s="21">
        <f t="shared" si="65"/>
        <v>1</v>
      </c>
      <c r="P347" s="667"/>
      <c r="Q347" s="21">
        <f t="shared" si="66"/>
        <v>1</v>
      </c>
      <c r="R347" s="663">
        <f t="shared" si="67"/>
        <v>0</v>
      </c>
      <c r="S347" s="316">
        <f t="shared" si="58"/>
        <v>0</v>
      </c>
    </row>
    <row r="348" spans="1:19">
      <c r="A348" s="150"/>
      <c r="B348" s="54"/>
      <c r="C348" s="21">
        <f t="shared" si="59"/>
        <v>1</v>
      </c>
      <c r="D348" s="667"/>
      <c r="E348" s="21">
        <f t="shared" si="60"/>
        <v>1</v>
      </c>
      <c r="F348" s="667"/>
      <c r="G348" s="21">
        <f t="shared" si="61"/>
        <v>1</v>
      </c>
      <c r="H348" s="667"/>
      <c r="I348" s="21">
        <f t="shared" si="62"/>
        <v>1</v>
      </c>
      <c r="J348" s="667"/>
      <c r="K348" s="21">
        <f t="shared" si="63"/>
        <v>1</v>
      </c>
      <c r="L348" s="667"/>
      <c r="M348" s="21">
        <f t="shared" si="64"/>
        <v>1</v>
      </c>
      <c r="N348" s="667"/>
      <c r="O348" s="21">
        <f t="shared" si="65"/>
        <v>1</v>
      </c>
      <c r="P348" s="667"/>
      <c r="Q348" s="21">
        <f t="shared" si="66"/>
        <v>1</v>
      </c>
      <c r="R348" s="663">
        <f t="shared" si="67"/>
        <v>0</v>
      </c>
      <c r="S348" s="316">
        <f t="shared" si="58"/>
        <v>0</v>
      </c>
    </row>
    <row r="349" spans="1:19">
      <c r="A349" s="150"/>
      <c r="B349" s="54"/>
      <c r="C349" s="21">
        <f t="shared" si="59"/>
        <v>1</v>
      </c>
      <c r="D349" s="667"/>
      <c r="E349" s="21">
        <f t="shared" si="60"/>
        <v>1</v>
      </c>
      <c r="F349" s="667"/>
      <c r="G349" s="21">
        <f t="shared" si="61"/>
        <v>1</v>
      </c>
      <c r="H349" s="667"/>
      <c r="I349" s="21">
        <f t="shared" si="62"/>
        <v>1</v>
      </c>
      <c r="J349" s="667"/>
      <c r="K349" s="21">
        <f t="shared" si="63"/>
        <v>1</v>
      </c>
      <c r="L349" s="667"/>
      <c r="M349" s="21">
        <f t="shared" si="64"/>
        <v>1</v>
      </c>
      <c r="N349" s="667"/>
      <c r="O349" s="21">
        <f t="shared" si="65"/>
        <v>1</v>
      </c>
      <c r="P349" s="667"/>
      <c r="Q349" s="21">
        <f t="shared" si="66"/>
        <v>1</v>
      </c>
      <c r="R349" s="663">
        <f t="shared" si="67"/>
        <v>0</v>
      </c>
      <c r="S349" s="316">
        <f t="shared" si="58"/>
        <v>0</v>
      </c>
    </row>
    <row r="350" spans="1:19">
      <c r="A350" s="150"/>
      <c r="B350" s="54"/>
      <c r="C350" s="21">
        <f t="shared" si="59"/>
        <v>1</v>
      </c>
      <c r="D350" s="667"/>
      <c r="E350" s="21">
        <f t="shared" si="60"/>
        <v>1</v>
      </c>
      <c r="F350" s="667"/>
      <c r="G350" s="21">
        <f t="shared" si="61"/>
        <v>1</v>
      </c>
      <c r="H350" s="667"/>
      <c r="I350" s="21">
        <f t="shared" si="62"/>
        <v>1</v>
      </c>
      <c r="J350" s="667"/>
      <c r="K350" s="21">
        <f t="shared" si="63"/>
        <v>1</v>
      </c>
      <c r="L350" s="667"/>
      <c r="M350" s="21">
        <f t="shared" si="64"/>
        <v>1</v>
      </c>
      <c r="N350" s="667"/>
      <c r="O350" s="21">
        <f t="shared" si="65"/>
        <v>1</v>
      </c>
      <c r="P350" s="667"/>
      <c r="Q350" s="21">
        <f t="shared" si="66"/>
        <v>1</v>
      </c>
      <c r="R350" s="663">
        <f t="shared" si="67"/>
        <v>0</v>
      </c>
      <c r="S350" s="316">
        <f t="shared" si="58"/>
        <v>0</v>
      </c>
    </row>
    <row r="351" spans="1:19">
      <c r="A351" s="150"/>
      <c r="B351" s="54"/>
      <c r="C351" s="21">
        <f t="shared" si="59"/>
        <v>1</v>
      </c>
      <c r="D351" s="667"/>
      <c r="E351" s="21">
        <f t="shared" si="60"/>
        <v>1</v>
      </c>
      <c r="F351" s="667"/>
      <c r="G351" s="21">
        <f t="shared" si="61"/>
        <v>1</v>
      </c>
      <c r="H351" s="667"/>
      <c r="I351" s="21">
        <f t="shared" si="62"/>
        <v>1</v>
      </c>
      <c r="J351" s="667"/>
      <c r="K351" s="21">
        <f t="shared" si="63"/>
        <v>1</v>
      </c>
      <c r="L351" s="667"/>
      <c r="M351" s="21">
        <f t="shared" si="64"/>
        <v>1</v>
      </c>
      <c r="N351" s="667"/>
      <c r="O351" s="21">
        <f t="shared" si="65"/>
        <v>1</v>
      </c>
      <c r="P351" s="667"/>
      <c r="Q351" s="21">
        <f t="shared" si="66"/>
        <v>1</v>
      </c>
      <c r="R351" s="663">
        <f t="shared" si="67"/>
        <v>0</v>
      </c>
      <c r="S351" s="316">
        <f t="shared" si="58"/>
        <v>0</v>
      </c>
    </row>
    <row r="352" spans="1:19">
      <c r="A352" s="150"/>
      <c r="B352" s="54"/>
      <c r="C352" s="21">
        <f t="shared" si="59"/>
        <v>1</v>
      </c>
      <c r="D352" s="667"/>
      <c r="E352" s="21">
        <f t="shared" si="60"/>
        <v>1</v>
      </c>
      <c r="F352" s="667"/>
      <c r="G352" s="21">
        <f t="shared" si="61"/>
        <v>1</v>
      </c>
      <c r="H352" s="667"/>
      <c r="I352" s="21">
        <f t="shared" si="62"/>
        <v>1</v>
      </c>
      <c r="J352" s="667"/>
      <c r="K352" s="21">
        <f t="shared" si="63"/>
        <v>1</v>
      </c>
      <c r="L352" s="667"/>
      <c r="M352" s="21">
        <f t="shared" si="64"/>
        <v>1</v>
      </c>
      <c r="N352" s="667"/>
      <c r="O352" s="21">
        <f t="shared" si="65"/>
        <v>1</v>
      </c>
      <c r="P352" s="667"/>
      <c r="Q352" s="21">
        <f t="shared" si="66"/>
        <v>1</v>
      </c>
      <c r="R352" s="663">
        <f t="shared" si="67"/>
        <v>0</v>
      </c>
      <c r="S352" s="316">
        <f t="shared" si="58"/>
        <v>0</v>
      </c>
    </row>
    <row r="353" spans="1:19">
      <c r="A353" s="150"/>
      <c r="B353" s="54"/>
      <c r="C353" s="21">
        <f t="shared" si="59"/>
        <v>1</v>
      </c>
      <c r="D353" s="667"/>
      <c r="E353" s="21">
        <f t="shared" si="60"/>
        <v>1</v>
      </c>
      <c r="F353" s="667"/>
      <c r="G353" s="21">
        <f t="shared" si="61"/>
        <v>1</v>
      </c>
      <c r="H353" s="667"/>
      <c r="I353" s="21">
        <f t="shared" si="62"/>
        <v>1</v>
      </c>
      <c r="J353" s="667"/>
      <c r="K353" s="21">
        <f t="shared" si="63"/>
        <v>1</v>
      </c>
      <c r="L353" s="667"/>
      <c r="M353" s="21">
        <f t="shared" si="64"/>
        <v>1</v>
      </c>
      <c r="N353" s="667"/>
      <c r="O353" s="21">
        <f t="shared" si="65"/>
        <v>1</v>
      </c>
      <c r="P353" s="667"/>
      <c r="Q353" s="21">
        <f t="shared" si="66"/>
        <v>1</v>
      </c>
      <c r="R353" s="663">
        <f t="shared" si="67"/>
        <v>0</v>
      </c>
      <c r="S353" s="316">
        <f t="shared" si="58"/>
        <v>0</v>
      </c>
    </row>
    <row r="354" spans="1:19">
      <c r="A354" s="150"/>
      <c r="B354" s="54"/>
      <c r="C354" s="21">
        <f t="shared" si="59"/>
        <v>1</v>
      </c>
      <c r="D354" s="667"/>
      <c r="E354" s="21">
        <f t="shared" si="60"/>
        <v>1</v>
      </c>
      <c r="F354" s="667"/>
      <c r="G354" s="21">
        <f t="shared" si="61"/>
        <v>1</v>
      </c>
      <c r="H354" s="667"/>
      <c r="I354" s="21">
        <f t="shared" si="62"/>
        <v>1</v>
      </c>
      <c r="J354" s="667"/>
      <c r="K354" s="21">
        <f t="shared" si="63"/>
        <v>1</v>
      </c>
      <c r="L354" s="667"/>
      <c r="M354" s="21">
        <f t="shared" si="64"/>
        <v>1</v>
      </c>
      <c r="N354" s="667"/>
      <c r="O354" s="21">
        <f t="shared" si="65"/>
        <v>1</v>
      </c>
      <c r="P354" s="667"/>
      <c r="Q354" s="21">
        <f t="shared" si="66"/>
        <v>1</v>
      </c>
      <c r="R354" s="663">
        <f t="shared" si="67"/>
        <v>0</v>
      </c>
      <c r="S354" s="316">
        <f t="shared" si="58"/>
        <v>0</v>
      </c>
    </row>
    <row r="355" spans="1:19">
      <c r="A355" s="150"/>
      <c r="B355" s="54"/>
      <c r="C355" s="21">
        <f t="shared" si="59"/>
        <v>1</v>
      </c>
      <c r="D355" s="667"/>
      <c r="E355" s="21">
        <f t="shared" si="60"/>
        <v>1</v>
      </c>
      <c r="F355" s="667"/>
      <c r="G355" s="21">
        <f t="shared" si="61"/>
        <v>1</v>
      </c>
      <c r="H355" s="667"/>
      <c r="I355" s="21">
        <f t="shared" si="62"/>
        <v>1</v>
      </c>
      <c r="J355" s="667"/>
      <c r="K355" s="21">
        <f t="shared" si="63"/>
        <v>1</v>
      </c>
      <c r="L355" s="667"/>
      <c r="M355" s="21">
        <f t="shared" si="64"/>
        <v>1</v>
      </c>
      <c r="N355" s="667"/>
      <c r="O355" s="21">
        <f t="shared" si="65"/>
        <v>1</v>
      </c>
      <c r="P355" s="667"/>
      <c r="Q355" s="21">
        <f t="shared" si="66"/>
        <v>1</v>
      </c>
      <c r="R355" s="663">
        <f t="shared" si="67"/>
        <v>0</v>
      </c>
      <c r="S355" s="316">
        <f t="shared" si="58"/>
        <v>0</v>
      </c>
    </row>
    <row r="356" spans="1:19">
      <c r="A356" s="150"/>
      <c r="B356" s="54"/>
      <c r="C356" s="21">
        <f t="shared" si="59"/>
        <v>1</v>
      </c>
      <c r="D356" s="667"/>
      <c r="E356" s="21">
        <f t="shared" si="60"/>
        <v>1</v>
      </c>
      <c r="F356" s="667"/>
      <c r="G356" s="21">
        <f t="shared" si="61"/>
        <v>1</v>
      </c>
      <c r="H356" s="667"/>
      <c r="I356" s="21">
        <f t="shared" si="62"/>
        <v>1</v>
      </c>
      <c r="J356" s="667"/>
      <c r="K356" s="21">
        <f t="shared" si="63"/>
        <v>1</v>
      </c>
      <c r="L356" s="667"/>
      <c r="M356" s="21">
        <f t="shared" si="64"/>
        <v>1</v>
      </c>
      <c r="N356" s="667"/>
      <c r="O356" s="21">
        <f t="shared" si="65"/>
        <v>1</v>
      </c>
      <c r="P356" s="667"/>
      <c r="Q356" s="21">
        <f t="shared" si="66"/>
        <v>1</v>
      </c>
      <c r="R356" s="663">
        <f t="shared" si="67"/>
        <v>0</v>
      </c>
      <c r="S356" s="316">
        <f t="shared" si="58"/>
        <v>0</v>
      </c>
    </row>
    <row r="357" spans="1:19">
      <c r="A357" s="150"/>
      <c r="B357" s="54"/>
      <c r="C357" s="21">
        <f t="shared" si="59"/>
        <v>1</v>
      </c>
      <c r="D357" s="667"/>
      <c r="E357" s="21">
        <f t="shared" si="60"/>
        <v>1</v>
      </c>
      <c r="F357" s="667"/>
      <c r="G357" s="21">
        <f t="shared" si="61"/>
        <v>1</v>
      </c>
      <c r="H357" s="667"/>
      <c r="I357" s="21">
        <f t="shared" si="62"/>
        <v>1</v>
      </c>
      <c r="J357" s="667"/>
      <c r="K357" s="21">
        <f t="shared" si="63"/>
        <v>1</v>
      </c>
      <c r="L357" s="667"/>
      <c r="M357" s="21">
        <f t="shared" si="64"/>
        <v>1</v>
      </c>
      <c r="N357" s="667"/>
      <c r="O357" s="21">
        <f t="shared" si="65"/>
        <v>1</v>
      </c>
      <c r="P357" s="667"/>
      <c r="Q357" s="21">
        <f t="shared" si="66"/>
        <v>1</v>
      </c>
      <c r="R357" s="663">
        <f t="shared" si="67"/>
        <v>0</v>
      </c>
      <c r="S357" s="316">
        <f t="shared" si="58"/>
        <v>0</v>
      </c>
    </row>
    <row r="358" spans="1:19">
      <c r="A358" s="150"/>
      <c r="B358" s="54"/>
      <c r="C358" s="21">
        <f t="shared" si="59"/>
        <v>1</v>
      </c>
      <c r="D358" s="667"/>
      <c r="E358" s="21">
        <f t="shared" si="60"/>
        <v>1</v>
      </c>
      <c r="F358" s="667"/>
      <c r="G358" s="21">
        <f t="shared" si="61"/>
        <v>1</v>
      </c>
      <c r="H358" s="667"/>
      <c r="I358" s="21">
        <f t="shared" si="62"/>
        <v>1</v>
      </c>
      <c r="J358" s="667"/>
      <c r="K358" s="21">
        <f t="shared" si="63"/>
        <v>1</v>
      </c>
      <c r="L358" s="667"/>
      <c r="M358" s="21">
        <f t="shared" si="64"/>
        <v>1</v>
      </c>
      <c r="N358" s="667"/>
      <c r="O358" s="21">
        <f t="shared" si="65"/>
        <v>1</v>
      </c>
      <c r="P358" s="667"/>
      <c r="Q358" s="21">
        <f t="shared" si="66"/>
        <v>1</v>
      </c>
      <c r="R358" s="663">
        <f t="shared" si="67"/>
        <v>0</v>
      </c>
      <c r="S358" s="316">
        <f t="shared" si="58"/>
        <v>0</v>
      </c>
    </row>
    <row r="359" spans="1:19">
      <c r="A359" s="150"/>
      <c r="B359" s="54"/>
      <c r="C359" s="21">
        <f t="shared" si="59"/>
        <v>1</v>
      </c>
      <c r="D359" s="667"/>
      <c r="E359" s="21">
        <f t="shared" si="60"/>
        <v>1</v>
      </c>
      <c r="F359" s="667"/>
      <c r="G359" s="21">
        <f t="shared" si="61"/>
        <v>1</v>
      </c>
      <c r="H359" s="667"/>
      <c r="I359" s="21">
        <f t="shared" si="62"/>
        <v>1</v>
      </c>
      <c r="J359" s="667"/>
      <c r="K359" s="21">
        <f t="shared" si="63"/>
        <v>1</v>
      </c>
      <c r="L359" s="667"/>
      <c r="M359" s="21">
        <f t="shared" si="64"/>
        <v>1</v>
      </c>
      <c r="N359" s="667"/>
      <c r="O359" s="21">
        <f t="shared" si="65"/>
        <v>1</v>
      </c>
      <c r="P359" s="667"/>
      <c r="Q359" s="21">
        <f t="shared" si="66"/>
        <v>1</v>
      </c>
      <c r="R359" s="663">
        <f t="shared" si="67"/>
        <v>0</v>
      </c>
      <c r="S359" s="316">
        <f t="shared" si="58"/>
        <v>0</v>
      </c>
    </row>
    <row r="360" spans="1:19">
      <c r="A360" s="150"/>
      <c r="B360" s="54"/>
      <c r="C360" s="21">
        <f t="shared" si="59"/>
        <v>1</v>
      </c>
      <c r="D360" s="667"/>
      <c r="E360" s="21">
        <f t="shared" si="60"/>
        <v>1</v>
      </c>
      <c r="F360" s="667"/>
      <c r="G360" s="21">
        <f t="shared" si="61"/>
        <v>1</v>
      </c>
      <c r="H360" s="667"/>
      <c r="I360" s="21">
        <f t="shared" si="62"/>
        <v>1</v>
      </c>
      <c r="J360" s="667"/>
      <c r="K360" s="21">
        <f t="shared" si="63"/>
        <v>1</v>
      </c>
      <c r="L360" s="667"/>
      <c r="M360" s="21">
        <f t="shared" si="64"/>
        <v>1</v>
      </c>
      <c r="N360" s="667"/>
      <c r="O360" s="21">
        <f t="shared" si="65"/>
        <v>1</v>
      </c>
      <c r="P360" s="667"/>
      <c r="Q360" s="21">
        <f t="shared" si="66"/>
        <v>1</v>
      </c>
      <c r="R360" s="663">
        <f t="shared" si="67"/>
        <v>0</v>
      </c>
      <c r="S360" s="316">
        <f t="shared" si="58"/>
        <v>0</v>
      </c>
    </row>
    <row r="361" spans="1:19">
      <c r="A361" s="150"/>
      <c r="B361" s="54"/>
      <c r="C361" s="21">
        <f t="shared" si="59"/>
        <v>1</v>
      </c>
      <c r="D361" s="667"/>
      <c r="E361" s="21">
        <f t="shared" si="60"/>
        <v>1</v>
      </c>
      <c r="F361" s="667"/>
      <c r="G361" s="21">
        <f t="shared" si="61"/>
        <v>1</v>
      </c>
      <c r="H361" s="667"/>
      <c r="I361" s="21">
        <f t="shared" si="62"/>
        <v>1</v>
      </c>
      <c r="J361" s="667"/>
      <c r="K361" s="21">
        <f t="shared" si="63"/>
        <v>1</v>
      </c>
      <c r="L361" s="667"/>
      <c r="M361" s="21">
        <f t="shared" si="64"/>
        <v>1</v>
      </c>
      <c r="N361" s="667"/>
      <c r="O361" s="21">
        <f t="shared" si="65"/>
        <v>1</v>
      </c>
      <c r="P361" s="667"/>
      <c r="Q361" s="21">
        <f t="shared" si="66"/>
        <v>1</v>
      </c>
      <c r="R361" s="663">
        <f t="shared" si="67"/>
        <v>0</v>
      </c>
      <c r="S361" s="316">
        <f t="shared" si="58"/>
        <v>0</v>
      </c>
    </row>
    <row r="362" spans="1:19">
      <c r="A362" s="150"/>
      <c r="B362" s="54"/>
      <c r="C362" s="21">
        <f t="shared" si="59"/>
        <v>1</v>
      </c>
      <c r="D362" s="667"/>
      <c r="E362" s="21">
        <f t="shared" si="60"/>
        <v>1</v>
      </c>
      <c r="F362" s="667"/>
      <c r="G362" s="21">
        <f t="shared" si="61"/>
        <v>1</v>
      </c>
      <c r="H362" s="667"/>
      <c r="I362" s="21">
        <f t="shared" si="62"/>
        <v>1</v>
      </c>
      <c r="J362" s="667"/>
      <c r="K362" s="21">
        <f t="shared" si="63"/>
        <v>1</v>
      </c>
      <c r="L362" s="667"/>
      <c r="M362" s="21">
        <f t="shared" si="64"/>
        <v>1</v>
      </c>
      <c r="N362" s="667"/>
      <c r="O362" s="21">
        <f t="shared" si="65"/>
        <v>1</v>
      </c>
      <c r="P362" s="667"/>
      <c r="Q362" s="21">
        <f t="shared" si="66"/>
        <v>1</v>
      </c>
      <c r="R362" s="663">
        <f t="shared" si="67"/>
        <v>0</v>
      </c>
      <c r="S362" s="316">
        <f t="shared" si="58"/>
        <v>0</v>
      </c>
    </row>
    <row r="363" spans="1:19">
      <c r="A363" s="150"/>
      <c r="B363" s="54"/>
      <c r="C363" s="21">
        <f t="shared" si="59"/>
        <v>1</v>
      </c>
      <c r="D363" s="667"/>
      <c r="E363" s="21">
        <f t="shared" si="60"/>
        <v>1</v>
      </c>
      <c r="F363" s="667"/>
      <c r="G363" s="21">
        <f t="shared" si="61"/>
        <v>1</v>
      </c>
      <c r="H363" s="667"/>
      <c r="I363" s="21">
        <f t="shared" si="62"/>
        <v>1</v>
      </c>
      <c r="J363" s="667"/>
      <c r="K363" s="21">
        <f t="shared" si="63"/>
        <v>1</v>
      </c>
      <c r="L363" s="667"/>
      <c r="M363" s="21">
        <f t="shared" si="64"/>
        <v>1</v>
      </c>
      <c r="N363" s="667"/>
      <c r="O363" s="21">
        <f t="shared" si="65"/>
        <v>1</v>
      </c>
      <c r="P363" s="667"/>
      <c r="Q363" s="21">
        <f t="shared" si="66"/>
        <v>1</v>
      </c>
      <c r="R363" s="663">
        <f t="shared" si="67"/>
        <v>0</v>
      </c>
      <c r="S363" s="316">
        <f t="shared" si="58"/>
        <v>0</v>
      </c>
    </row>
    <row r="364" spans="1:19">
      <c r="A364" s="150"/>
      <c r="B364" s="54"/>
      <c r="C364" s="21">
        <f t="shared" si="59"/>
        <v>1</v>
      </c>
      <c r="D364" s="667"/>
      <c r="E364" s="21">
        <f t="shared" si="60"/>
        <v>1</v>
      </c>
      <c r="F364" s="667"/>
      <c r="G364" s="21">
        <f t="shared" si="61"/>
        <v>1</v>
      </c>
      <c r="H364" s="667"/>
      <c r="I364" s="21">
        <f t="shared" si="62"/>
        <v>1</v>
      </c>
      <c r="J364" s="667"/>
      <c r="K364" s="21">
        <f t="shared" si="63"/>
        <v>1</v>
      </c>
      <c r="L364" s="667"/>
      <c r="M364" s="21">
        <f t="shared" si="64"/>
        <v>1</v>
      </c>
      <c r="N364" s="667"/>
      <c r="O364" s="21">
        <f t="shared" si="65"/>
        <v>1</v>
      </c>
      <c r="P364" s="667"/>
      <c r="Q364" s="21">
        <f t="shared" si="66"/>
        <v>1</v>
      </c>
      <c r="R364" s="663">
        <f t="shared" si="67"/>
        <v>0</v>
      </c>
      <c r="S364" s="316">
        <f t="shared" si="58"/>
        <v>0</v>
      </c>
    </row>
    <row r="365" spans="1:19">
      <c r="A365" s="150"/>
      <c r="B365" s="54"/>
      <c r="C365" s="21">
        <f t="shared" si="59"/>
        <v>1</v>
      </c>
      <c r="D365" s="667"/>
      <c r="E365" s="21">
        <f t="shared" si="60"/>
        <v>1</v>
      </c>
      <c r="F365" s="667"/>
      <c r="G365" s="21">
        <f t="shared" si="61"/>
        <v>1</v>
      </c>
      <c r="H365" s="667"/>
      <c r="I365" s="21">
        <f t="shared" si="62"/>
        <v>1</v>
      </c>
      <c r="J365" s="667"/>
      <c r="K365" s="21">
        <f t="shared" si="63"/>
        <v>1</v>
      </c>
      <c r="L365" s="667"/>
      <c r="M365" s="21">
        <f t="shared" si="64"/>
        <v>1</v>
      </c>
      <c r="N365" s="667"/>
      <c r="O365" s="21">
        <f t="shared" si="65"/>
        <v>1</v>
      </c>
      <c r="P365" s="667"/>
      <c r="Q365" s="21">
        <f t="shared" si="66"/>
        <v>1</v>
      </c>
      <c r="R365" s="663">
        <f t="shared" si="67"/>
        <v>0</v>
      </c>
      <c r="S365" s="316">
        <f t="shared" si="58"/>
        <v>0</v>
      </c>
    </row>
    <row r="366" spans="1:19">
      <c r="A366" s="150"/>
      <c r="B366" s="54"/>
      <c r="C366" s="21">
        <f t="shared" si="59"/>
        <v>1</v>
      </c>
      <c r="D366" s="667"/>
      <c r="E366" s="21">
        <f t="shared" si="60"/>
        <v>1</v>
      </c>
      <c r="F366" s="667"/>
      <c r="G366" s="21">
        <f t="shared" si="61"/>
        <v>1</v>
      </c>
      <c r="H366" s="667"/>
      <c r="I366" s="21">
        <f t="shared" si="62"/>
        <v>1</v>
      </c>
      <c r="J366" s="667"/>
      <c r="K366" s="21">
        <f t="shared" si="63"/>
        <v>1</v>
      </c>
      <c r="L366" s="667"/>
      <c r="M366" s="21">
        <f t="shared" si="64"/>
        <v>1</v>
      </c>
      <c r="N366" s="667"/>
      <c r="O366" s="21">
        <f t="shared" si="65"/>
        <v>1</v>
      </c>
      <c r="P366" s="667"/>
      <c r="Q366" s="21">
        <f t="shared" si="66"/>
        <v>1</v>
      </c>
      <c r="R366" s="663">
        <f t="shared" si="67"/>
        <v>0</v>
      </c>
      <c r="S366" s="316">
        <f t="shared" si="58"/>
        <v>0</v>
      </c>
    </row>
    <row r="367" spans="1:19">
      <c r="A367" s="150"/>
      <c r="B367" s="54"/>
      <c r="C367" s="21">
        <f t="shared" si="59"/>
        <v>1</v>
      </c>
      <c r="D367" s="667"/>
      <c r="E367" s="21">
        <f t="shared" si="60"/>
        <v>1</v>
      </c>
      <c r="F367" s="667"/>
      <c r="G367" s="21">
        <f t="shared" si="61"/>
        <v>1</v>
      </c>
      <c r="H367" s="667"/>
      <c r="I367" s="21">
        <f t="shared" si="62"/>
        <v>1</v>
      </c>
      <c r="J367" s="667"/>
      <c r="K367" s="21">
        <f t="shared" si="63"/>
        <v>1</v>
      </c>
      <c r="L367" s="667"/>
      <c r="M367" s="21">
        <f t="shared" si="64"/>
        <v>1</v>
      </c>
      <c r="N367" s="667"/>
      <c r="O367" s="21">
        <f t="shared" si="65"/>
        <v>1</v>
      </c>
      <c r="P367" s="667"/>
      <c r="Q367" s="21">
        <f t="shared" si="66"/>
        <v>1</v>
      </c>
      <c r="R367" s="663">
        <f t="shared" si="67"/>
        <v>0</v>
      </c>
      <c r="S367" s="316">
        <f t="shared" si="58"/>
        <v>0</v>
      </c>
    </row>
    <row r="368" spans="1:19">
      <c r="A368" s="150"/>
      <c r="B368" s="54"/>
      <c r="C368" s="21">
        <f t="shared" si="59"/>
        <v>1</v>
      </c>
      <c r="D368" s="667"/>
      <c r="E368" s="21">
        <f t="shared" si="60"/>
        <v>1</v>
      </c>
      <c r="F368" s="667"/>
      <c r="G368" s="21">
        <f t="shared" si="61"/>
        <v>1</v>
      </c>
      <c r="H368" s="667"/>
      <c r="I368" s="21">
        <f t="shared" si="62"/>
        <v>1</v>
      </c>
      <c r="J368" s="667"/>
      <c r="K368" s="21">
        <f t="shared" si="63"/>
        <v>1</v>
      </c>
      <c r="L368" s="667"/>
      <c r="M368" s="21">
        <f t="shared" si="64"/>
        <v>1</v>
      </c>
      <c r="N368" s="667"/>
      <c r="O368" s="21">
        <f t="shared" si="65"/>
        <v>1</v>
      </c>
      <c r="P368" s="667"/>
      <c r="Q368" s="21">
        <f t="shared" si="66"/>
        <v>1</v>
      </c>
      <c r="R368" s="663">
        <f t="shared" si="67"/>
        <v>0</v>
      </c>
      <c r="S368" s="316">
        <f t="shared" si="58"/>
        <v>0</v>
      </c>
    </row>
    <row r="369" spans="1:19">
      <c r="A369" s="150"/>
      <c r="B369" s="54"/>
      <c r="C369" s="21">
        <f t="shared" si="59"/>
        <v>1</v>
      </c>
      <c r="D369" s="667"/>
      <c r="E369" s="21">
        <f t="shared" si="60"/>
        <v>1</v>
      </c>
      <c r="F369" s="667"/>
      <c r="G369" s="21">
        <f t="shared" si="61"/>
        <v>1</v>
      </c>
      <c r="H369" s="667"/>
      <c r="I369" s="21">
        <f t="shared" si="62"/>
        <v>1</v>
      </c>
      <c r="J369" s="667"/>
      <c r="K369" s="21">
        <f t="shared" si="63"/>
        <v>1</v>
      </c>
      <c r="L369" s="667"/>
      <c r="M369" s="21">
        <f t="shared" si="64"/>
        <v>1</v>
      </c>
      <c r="N369" s="667"/>
      <c r="O369" s="21">
        <f t="shared" si="65"/>
        <v>1</v>
      </c>
      <c r="P369" s="667"/>
      <c r="Q369" s="21">
        <f t="shared" si="66"/>
        <v>1</v>
      </c>
      <c r="R369" s="663">
        <f t="shared" si="67"/>
        <v>0</v>
      </c>
      <c r="S369" s="316">
        <f t="shared" si="58"/>
        <v>0</v>
      </c>
    </row>
    <row r="370" spans="1:19">
      <c r="A370" s="150"/>
      <c r="B370" s="54"/>
      <c r="C370" s="21">
        <f t="shared" si="59"/>
        <v>1</v>
      </c>
      <c r="D370" s="667"/>
      <c r="E370" s="21">
        <f t="shared" si="60"/>
        <v>1</v>
      </c>
      <c r="F370" s="667"/>
      <c r="G370" s="21">
        <f t="shared" si="61"/>
        <v>1</v>
      </c>
      <c r="H370" s="667"/>
      <c r="I370" s="21">
        <f t="shared" si="62"/>
        <v>1</v>
      </c>
      <c r="J370" s="667"/>
      <c r="K370" s="21">
        <f t="shared" si="63"/>
        <v>1</v>
      </c>
      <c r="L370" s="667"/>
      <c r="M370" s="21">
        <f t="shared" si="64"/>
        <v>1</v>
      </c>
      <c r="N370" s="667"/>
      <c r="O370" s="21">
        <f t="shared" si="65"/>
        <v>1</v>
      </c>
      <c r="P370" s="667"/>
      <c r="Q370" s="21">
        <f t="shared" si="66"/>
        <v>1</v>
      </c>
      <c r="R370" s="663">
        <f t="shared" si="67"/>
        <v>0</v>
      </c>
      <c r="S370" s="316">
        <f t="shared" si="58"/>
        <v>0</v>
      </c>
    </row>
    <row r="371" spans="1:19">
      <c r="A371" s="150"/>
      <c r="B371" s="54"/>
      <c r="C371" s="21">
        <f t="shared" si="59"/>
        <v>1</v>
      </c>
      <c r="D371" s="667"/>
      <c r="E371" s="21">
        <f t="shared" si="60"/>
        <v>1</v>
      </c>
      <c r="F371" s="667"/>
      <c r="G371" s="21">
        <f t="shared" si="61"/>
        <v>1</v>
      </c>
      <c r="H371" s="667"/>
      <c r="I371" s="21">
        <f t="shared" si="62"/>
        <v>1</v>
      </c>
      <c r="J371" s="667"/>
      <c r="K371" s="21">
        <f t="shared" si="63"/>
        <v>1</v>
      </c>
      <c r="L371" s="667"/>
      <c r="M371" s="21">
        <f t="shared" si="64"/>
        <v>1</v>
      </c>
      <c r="N371" s="667"/>
      <c r="O371" s="21">
        <f t="shared" si="65"/>
        <v>1</v>
      </c>
      <c r="P371" s="667"/>
      <c r="Q371" s="21">
        <f t="shared" si="66"/>
        <v>1</v>
      </c>
      <c r="R371" s="663">
        <f t="shared" si="67"/>
        <v>0</v>
      </c>
      <c r="S371" s="316">
        <f t="shared" si="58"/>
        <v>0</v>
      </c>
    </row>
    <row r="372" spans="1:19">
      <c r="A372" s="150"/>
      <c r="B372" s="54"/>
      <c r="C372" s="21">
        <f t="shared" si="59"/>
        <v>1</v>
      </c>
      <c r="D372" s="667"/>
      <c r="E372" s="21">
        <f t="shared" si="60"/>
        <v>1</v>
      </c>
      <c r="F372" s="667"/>
      <c r="G372" s="21">
        <f t="shared" si="61"/>
        <v>1</v>
      </c>
      <c r="H372" s="667"/>
      <c r="I372" s="21">
        <f t="shared" si="62"/>
        <v>1</v>
      </c>
      <c r="J372" s="667"/>
      <c r="K372" s="21">
        <f t="shared" si="63"/>
        <v>1</v>
      </c>
      <c r="L372" s="667"/>
      <c r="M372" s="21">
        <f t="shared" si="64"/>
        <v>1</v>
      </c>
      <c r="N372" s="667"/>
      <c r="O372" s="21">
        <f t="shared" si="65"/>
        <v>1</v>
      </c>
      <c r="P372" s="667"/>
      <c r="Q372" s="21">
        <f t="shared" si="66"/>
        <v>1</v>
      </c>
      <c r="R372" s="663">
        <f t="shared" si="67"/>
        <v>0</v>
      </c>
      <c r="S372" s="316">
        <f t="shared" si="58"/>
        <v>0</v>
      </c>
    </row>
    <row r="373" spans="1:19">
      <c r="A373" s="150"/>
      <c r="B373" s="54"/>
      <c r="C373" s="21">
        <f t="shared" si="59"/>
        <v>1</v>
      </c>
      <c r="D373" s="667"/>
      <c r="E373" s="21">
        <f t="shared" si="60"/>
        <v>1</v>
      </c>
      <c r="F373" s="667"/>
      <c r="G373" s="21">
        <f t="shared" si="61"/>
        <v>1</v>
      </c>
      <c r="H373" s="667"/>
      <c r="I373" s="21">
        <f t="shared" si="62"/>
        <v>1</v>
      </c>
      <c r="J373" s="667"/>
      <c r="K373" s="21">
        <f t="shared" si="63"/>
        <v>1</v>
      </c>
      <c r="L373" s="667"/>
      <c r="M373" s="21">
        <f t="shared" si="64"/>
        <v>1</v>
      </c>
      <c r="N373" s="667"/>
      <c r="O373" s="21">
        <f t="shared" si="65"/>
        <v>1</v>
      </c>
      <c r="P373" s="667"/>
      <c r="Q373" s="21">
        <f t="shared" si="66"/>
        <v>1</v>
      </c>
      <c r="R373" s="663">
        <f t="shared" si="67"/>
        <v>0</v>
      </c>
      <c r="S373" s="316">
        <f t="shared" si="58"/>
        <v>0</v>
      </c>
    </row>
    <row r="374" spans="1:19">
      <c r="A374" s="150"/>
      <c r="B374" s="54"/>
      <c r="C374" s="21">
        <f t="shared" si="59"/>
        <v>1</v>
      </c>
      <c r="D374" s="667"/>
      <c r="E374" s="21">
        <f t="shared" si="60"/>
        <v>1</v>
      </c>
      <c r="F374" s="667"/>
      <c r="G374" s="21">
        <f t="shared" si="61"/>
        <v>1</v>
      </c>
      <c r="H374" s="667"/>
      <c r="I374" s="21">
        <f t="shared" si="62"/>
        <v>1</v>
      </c>
      <c r="J374" s="667"/>
      <c r="K374" s="21">
        <f t="shared" si="63"/>
        <v>1</v>
      </c>
      <c r="L374" s="667"/>
      <c r="M374" s="21">
        <f t="shared" si="64"/>
        <v>1</v>
      </c>
      <c r="N374" s="667"/>
      <c r="O374" s="21">
        <f t="shared" si="65"/>
        <v>1</v>
      </c>
      <c r="P374" s="667"/>
      <c r="Q374" s="21">
        <f t="shared" si="66"/>
        <v>1</v>
      </c>
      <c r="R374" s="663">
        <f t="shared" si="67"/>
        <v>0</v>
      </c>
      <c r="S374" s="316">
        <f t="shared" si="58"/>
        <v>0</v>
      </c>
    </row>
    <row r="375" spans="1:19">
      <c r="A375" s="150"/>
      <c r="B375" s="54"/>
      <c r="C375" s="21">
        <f t="shared" si="59"/>
        <v>1</v>
      </c>
      <c r="D375" s="667"/>
      <c r="E375" s="21">
        <f t="shared" si="60"/>
        <v>1</v>
      </c>
      <c r="F375" s="667"/>
      <c r="G375" s="21">
        <f t="shared" si="61"/>
        <v>1</v>
      </c>
      <c r="H375" s="667"/>
      <c r="I375" s="21">
        <f t="shared" si="62"/>
        <v>1</v>
      </c>
      <c r="J375" s="667"/>
      <c r="K375" s="21">
        <f t="shared" si="63"/>
        <v>1</v>
      </c>
      <c r="L375" s="667"/>
      <c r="M375" s="21">
        <f t="shared" si="64"/>
        <v>1</v>
      </c>
      <c r="N375" s="667"/>
      <c r="O375" s="21">
        <f t="shared" si="65"/>
        <v>1</v>
      </c>
      <c r="P375" s="667"/>
      <c r="Q375" s="21">
        <f t="shared" si="66"/>
        <v>1</v>
      </c>
      <c r="R375" s="663">
        <f t="shared" si="67"/>
        <v>0</v>
      </c>
      <c r="S375" s="316">
        <f t="shared" si="58"/>
        <v>0</v>
      </c>
    </row>
    <row r="376" spans="1:19">
      <c r="A376" s="150"/>
      <c r="B376" s="54"/>
      <c r="C376" s="21">
        <f t="shared" si="59"/>
        <v>1</v>
      </c>
      <c r="D376" s="667"/>
      <c r="E376" s="21">
        <f t="shared" si="60"/>
        <v>1</v>
      </c>
      <c r="F376" s="667"/>
      <c r="G376" s="21">
        <f t="shared" si="61"/>
        <v>1</v>
      </c>
      <c r="H376" s="667"/>
      <c r="I376" s="21">
        <f t="shared" si="62"/>
        <v>1</v>
      </c>
      <c r="J376" s="667"/>
      <c r="K376" s="21">
        <f t="shared" si="63"/>
        <v>1</v>
      </c>
      <c r="L376" s="667"/>
      <c r="M376" s="21">
        <f t="shared" si="64"/>
        <v>1</v>
      </c>
      <c r="N376" s="667"/>
      <c r="O376" s="21">
        <f t="shared" si="65"/>
        <v>1</v>
      </c>
      <c r="P376" s="667"/>
      <c r="Q376" s="21">
        <f t="shared" si="66"/>
        <v>1</v>
      </c>
      <c r="R376" s="663">
        <f t="shared" si="67"/>
        <v>0</v>
      </c>
      <c r="S376" s="316">
        <f t="shared" si="58"/>
        <v>0</v>
      </c>
    </row>
    <row r="377" spans="1:19">
      <c r="A377" s="150"/>
      <c r="B377" s="54"/>
      <c r="C377" s="21">
        <f t="shared" si="59"/>
        <v>1</v>
      </c>
      <c r="D377" s="667"/>
      <c r="E377" s="21">
        <f t="shared" si="60"/>
        <v>1</v>
      </c>
      <c r="F377" s="667"/>
      <c r="G377" s="21">
        <f t="shared" si="61"/>
        <v>1</v>
      </c>
      <c r="H377" s="667"/>
      <c r="I377" s="21">
        <f t="shared" si="62"/>
        <v>1</v>
      </c>
      <c r="J377" s="667"/>
      <c r="K377" s="21">
        <f t="shared" si="63"/>
        <v>1</v>
      </c>
      <c r="L377" s="667"/>
      <c r="M377" s="21">
        <f t="shared" si="64"/>
        <v>1</v>
      </c>
      <c r="N377" s="667"/>
      <c r="O377" s="21">
        <f t="shared" si="65"/>
        <v>1</v>
      </c>
      <c r="P377" s="667"/>
      <c r="Q377" s="21">
        <f t="shared" si="66"/>
        <v>1</v>
      </c>
      <c r="R377" s="663">
        <f t="shared" si="67"/>
        <v>0</v>
      </c>
      <c r="S377" s="316">
        <f t="shared" si="58"/>
        <v>0</v>
      </c>
    </row>
    <row r="378" spans="1:19">
      <c r="A378" s="150"/>
      <c r="B378" s="54"/>
      <c r="C378" s="21">
        <f t="shared" si="59"/>
        <v>1</v>
      </c>
      <c r="D378" s="667"/>
      <c r="E378" s="21">
        <f t="shared" si="60"/>
        <v>1</v>
      </c>
      <c r="F378" s="667"/>
      <c r="G378" s="21">
        <f t="shared" si="61"/>
        <v>1</v>
      </c>
      <c r="H378" s="667"/>
      <c r="I378" s="21">
        <f t="shared" si="62"/>
        <v>1</v>
      </c>
      <c r="J378" s="667"/>
      <c r="K378" s="21">
        <f t="shared" si="63"/>
        <v>1</v>
      </c>
      <c r="L378" s="667"/>
      <c r="M378" s="21">
        <f t="shared" si="64"/>
        <v>1</v>
      </c>
      <c r="N378" s="667"/>
      <c r="O378" s="21">
        <f t="shared" si="65"/>
        <v>1</v>
      </c>
      <c r="P378" s="667"/>
      <c r="Q378" s="21">
        <f t="shared" si="66"/>
        <v>1</v>
      </c>
      <c r="R378" s="663">
        <f t="shared" si="67"/>
        <v>0</v>
      </c>
      <c r="S378" s="316">
        <f t="shared" si="58"/>
        <v>0</v>
      </c>
    </row>
    <row r="379" spans="1:19">
      <c r="A379" s="150"/>
      <c r="B379" s="54"/>
      <c r="C379" s="21">
        <f t="shared" si="59"/>
        <v>1</v>
      </c>
      <c r="D379" s="667"/>
      <c r="E379" s="21">
        <f t="shared" si="60"/>
        <v>1</v>
      </c>
      <c r="F379" s="667"/>
      <c r="G379" s="21">
        <f t="shared" si="61"/>
        <v>1</v>
      </c>
      <c r="H379" s="667"/>
      <c r="I379" s="21">
        <f t="shared" si="62"/>
        <v>1</v>
      </c>
      <c r="J379" s="667"/>
      <c r="K379" s="21">
        <f t="shared" si="63"/>
        <v>1</v>
      </c>
      <c r="L379" s="667"/>
      <c r="M379" s="21">
        <f t="shared" si="64"/>
        <v>1</v>
      </c>
      <c r="N379" s="667"/>
      <c r="O379" s="21">
        <f t="shared" si="65"/>
        <v>1</v>
      </c>
      <c r="P379" s="667"/>
      <c r="Q379" s="21">
        <f t="shared" si="66"/>
        <v>1</v>
      </c>
      <c r="R379" s="663">
        <f t="shared" si="67"/>
        <v>0</v>
      </c>
      <c r="S379" s="316">
        <f t="shared" si="58"/>
        <v>0</v>
      </c>
    </row>
    <row r="380" spans="1:19">
      <c r="A380" s="150"/>
      <c r="B380" s="54"/>
      <c r="C380" s="21">
        <f t="shared" si="59"/>
        <v>1</v>
      </c>
      <c r="D380" s="667"/>
      <c r="E380" s="21">
        <f t="shared" si="60"/>
        <v>1</v>
      </c>
      <c r="F380" s="667"/>
      <c r="G380" s="21">
        <f t="shared" si="61"/>
        <v>1</v>
      </c>
      <c r="H380" s="667"/>
      <c r="I380" s="21">
        <f t="shared" si="62"/>
        <v>1</v>
      </c>
      <c r="J380" s="667"/>
      <c r="K380" s="21">
        <f t="shared" si="63"/>
        <v>1</v>
      </c>
      <c r="L380" s="667"/>
      <c r="M380" s="21">
        <f t="shared" si="64"/>
        <v>1</v>
      </c>
      <c r="N380" s="667"/>
      <c r="O380" s="21">
        <f t="shared" si="65"/>
        <v>1</v>
      </c>
      <c r="P380" s="667"/>
      <c r="Q380" s="21">
        <f t="shared" si="66"/>
        <v>1</v>
      </c>
      <c r="R380" s="663">
        <f t="shared" si="67"/>
        <v>0</v>
      </c>
      <c r="S380" s="316">
        <f t="shared" si="58"/>
        <v>0</v>
      </c>
    </row>
    <row r="381" spans="1:19">
      <c r="A381" s="150"/>
      <c r="B381" s="54"/>
      <c r="C381" s="21">
        <f t="shared" si="59"/>
        <v>1</v>
      </c>
      <c r="D381" s="667"/>
      <c r="E381" s="21">
        <f t="shared" si="60"/>
        <v>1</v>
      </c>
      <c r="F381" s="667"/>
      <c r="G381" s="21">
        <f t="shared" si="61"/>
        <v>1</v>
      </c>
      <c r="H381" s="667"/>
      <c r="I381" s="21">
        <f t="shared" si="62"/>
        <v>1</v>
      </c>
      <c r="J381" s="667"/>
      <c r="K381" s="21">
        <f t="shared" si="63"/>
        <v>1</v>
      </c>
      <c r="L381" s="667"/>
      <c r="M381" s="21">
        <f t="shared" si="64"/>
        <v>1</v>
      </c>
      <c r="N381" s="667"/>
      <c r="O381" s="21">
        <f t="shared" si="65"/>
        <v>1</v>
      </c>
      <c r="P381" s="667"/>
      <c r="Q381" s="21">
        <f t="shared" si="66"/>
        <v>1</v>
      </c>
      <c r="R381" s="663">
        <f t="shared" si="67"/>
        <v>0</v>
      </c>
      <c r="S381" s="316">
        <f t="shared" si="58"/>
        <v>0</v>
      </c>
    </row>
    <row r="382" spans="1:19">
      <c r="A382" s="150"/>
      <c r="B382" s="54"/>
      <c r="C382" s="21">
        <f t="shared" si="59"/>
        <v>1</v>
      </c>
      <c r="D382" s="667"/>
      <c r="E382" s="21">
        <f t="shared" si="60"/>
        <v>1</v>
      </c>
      <c r="F382" s="667"/>
      <c r="G382" s="21">
        <f t="shared" si="61"/>
        <v>1</v>
      </c>
      <c r="H382" s="667"/>
      <c r="I382" s="21">
        <f t="shared" si="62"/>
        <v>1</v>
      </c>
      <c r="J382" s="667"/>
      <c r="K382" s="21">
        <f t="shared" si="63"/>
        <v>1</v>
      </c>
      <c r="L382" s="667"/>
      <c r="M382" s="21">
        <f t="shared" si="64"/>
        <v>1</v>
      </c>
      <c r="N382" s="667"/>
      <c r="O382" s="21">
        <f t="shared" si="65"/>
        <v>1</v>
      </c>
      <c r="P382" s="667"/>
      <c r="Q382" s="21">
        <f t="shared" si="66"/>
        <v>1</v>
      </c>
      <c r="R382" s="663">
        <f t="shared" si="67"/>
        <v>0</v>
      </c>
      <c r="S382" s="316">
        <f t="shared" si="58"/>
        <v>0</v>
      </c>
    </row>
    <row r="383" spans="1:19">
      <c r="A383" s="150"/>
      <c r="B383" s="54"/>
      <c r="C383" s="21">
        <f t="shared" si="59"/>
        <v>1</v>
      </c>
      <c r="D383" s="667"/>
      <c r="E383" s="21">
        <f t="shared" si="60"/>
        <v>1</v>
      </c>
      <c r="F383" s="667"/>
      <c r="G383" s="21">
        <f t="shared" si="61"/>
        <v>1</v>
      </c>
      <c r="H383" s="667"/>
      <c r="I383" s="21">
        <f t="shared" si="62"/>
        <v>1</v>
      </c>
      <c r="J383" s="667"/>
      <c r="K383" s="21">
        <f t="shared" si="63"/>
        <v>1</v>
      </c>
      <c r="L383" s="667"/>
      <c r="M383" s="21">
        <f t="shared" si="64"/>
        <v>1</v>
      </c>
      <c r="N383" s="667"/>
      <c r="O383" s="21">
        <f t="shared" si="65"/>
        <v>1</v>
      </c>
      <c r="P383" s="667"/>
      <c r="Q383" s="21">
        <f t="shared" si="66"/>
        <v>1</v>
      </c>
      <c r="R383" s="663">
        <f t="shared" si="67"/>
        <v>0</v>
      </c>
      <c r="S383" s="316">
        <f t="shared" si="58"/>
        <v>0</v>
      </c>
    </row>
    <row r="384" spans="1:19">
      <c r="A384" s="150"/>
      <c r="B384" s="54"/>
      <c r="C384" s="21">
        <f t="shared" si="59"/>
        <v>1</v>
      </c>
      <c r="D384" s="667"/>
      <c r="E384" s="21">
        <f t="shared" si="60"/>
        <v>1</v>
      </c>
      <c r="F384" s="667"/>
      <c r="G384" s="21">
        <f t="shared" si="61"/>
        <v>1</v>
      </c>
      <c r="H384" s="667"/>
      <c r="I384" s="21">
        <f t="shared" si="62"/>
        <v>1</v>
      </c>
      <c r="J384" s="667"/>
      <c r="K384" s="21">
        <f t="shared" si="63"/>
        <v>1</v>
      </c>
      <c r="L384" s="667"/>
      <c r="M384" s="21">
        <f t="shared" si="64"/>
        <v>1</v>
      </c>
      <c r="N384" s="667"/>
      <c r="O384" s="21">
        <f t="shared" si="65"/>
        <v>1</v>
      </c>
      <c r="P384" s="667"/>
      <c r="Q384" s="21">
        <f t="shared" si="66"/>
        <v>1</v>
      </c>
      <c r="R384" s="663">
        <f t="shared" si="67"/>
        <v>0</v>
      </c>
      <c r="S384" s="316">
        <f t="shared" si="58"/>
        <v>0</v>
      </c>
    </row>
    <row r="385" spans="1:19">
      <c r="A385" s="150"/>
      <c r="B385" s="54"/>
      <c r="C385" s="21">
        <f t="shared" si="59"/>
        <v>1</v>
      </c>
      <c r="D385" s="667"/>
      <c r="E385" s="21">
        <f t="shared" si="60"/>
        <v>1</v>
      </c>
      <c r="F385" s="667"/>
      <c r="G385" s="21">
        <f t="shared" si="61"/>
        <v>1</v>
      </c>
      <c r="H385" s="667"/>
      <c r="I385" s="21">
        <f t="shared" si="62"/>
        <v>1</v>
      </c>
      <c r="J385" s="667"/>
      <c r="K385" s="21">
        <f t="shared" si="63"/>
        <v>1</v>
      </c>
      <c r="L385" s="667"/>
      <c r="M385" s="21">
        <f t="shared" si="64"/>
        <v>1</v>
      </c>
      <c r="N385" s="667"/>
      <c r="O385" s="21">
        <f t="shared" si="65"/>
        <v>1</v>
      </c>
      <c r="P385" s="667"/>
      <c r="Q385" s="21">
        <f t="shared" si="66"/>
        <v>1</v>
      </c>
      <c r="R385" s="663">
        <f t="shared" si="67"/>
        <v>0</v>
      </c>
      <c r="S385" s="316">
        <f t="shared" ref="S385:S422" si="68">ROUND(R385*B385/10000,0)</f>
        <v>0</v>
      </c>
    </row>
    <row r="386" spans="1:19">
      <c r="A386" s="150"/>
      <c r="B386" s="54"/>
      <c r="C386" s="21">
        <f t="shared" si="59"/>
        <v>1</v>
      </c>
      <c r="D386" s="667"/>
      <c r="E386" s="21">
        <f t="shared" si="60"/>
        <v>1</v>
      </c>
      <c r="F386" s="667"/>
      <c r="G386" s="21">
        <f t="shared" si="61"/>
        <v>1</v>
      </c>
      <c r="H386" s="667"/>
      <c r="I386" s="21">
        <f t="shared" si="62"/>
        <v>1</v>
      </c>
      <c r="J386" s="667"/>
      <c r="K386" s="21">
        <f t="shared" si="63"/>
        <v>1</v>
      </c>
      <c r="L386" s="667"/>
      <c r="M386" s="21">
        <f t="shared" si="64"/>
        <v>1</v>
      </c>
      <c r="N386" s="667"/>
      <c r="O386" s="21">
        <f t="shared" si="65"/>
        <v>1</v>
      </c>
      <c r="P386" s="667"/>
      <c r="Q386" s="21">
        <f t="shared" si="66"/>
        <v>1</v>
      </c>
      <c r="R386" s="663">
        <f t="shared" si="67"/>
        <v>0</v>
      </c>
      <c r="S386" s="316">
        <f t="shared" si="68"/>
        <v>0</v>
      </c>
    </row>
    <row r="387" spans="1:19">
      <c r="A387" s="150"/>
      <c r="B387" s="54"/>
      <c r="C387" s="21">
        <f t="shared" si="59"/>
        <v>1</v>
      </c>
      <c r="D387" s="667"/>
      <c r="E387" s="21">
        <f t="shared" si="60"/>
        <v>1</v>
      </c>
      <c r="F387" s="667"/>
      <c r="G387" s="21">
        <f t="shared" si="61"/>
        <v>1</v>
      </c>
      <c r="H387" s="667"/>
      <c r="I387" s="21">
        <f t="shared" si="62"/>
        <v>1</v>
      </c>
      <c r="J387" s="667"/>
      <c r="K387" s="21">
        <f t="shared" si="63"/>
        <v>1</v>
      </c>
      <c r="L387" s="667"/>
      <c r="M387" s="21">
        <f t="shared" si="64"/>
        <v>1</v>
      </c>
      <c r="N387" s="667"/>
      <c r="O387" s="21">
        <f t="shared" si="65"/>
        <v>1</v>
      </c>
      <c r="P387" s="667"/>
      <c r="Q387" s="21">
        <f t="shared" si="66"/>
        <v>1</v>
      </c>
      <c r="R387" s="663">
        <f t="shared" si="67"/>
        <v>0</v>
      </c>
      <c r="S387" s="316">
        <f t="shared" si="68"/>
        <v>0</v>
      </c>
    </row>
    <row r="388" spans="1:19">
      <c r="A388" s="150"/>
      <c r="B388" s="54"/>
      <c r="C388" s="21">
        <f t="shared" si="59"/>
        <v>1</v>
      </c>
      <c r="D388" s="667"/>
      <c r="E388" s="21">
        <f t="shared" si="60"/>
        <v>1</v>
      </c>
      <c r="F388" s="667"/>
      <c r="G388" s="21">
        <f t="shared" si="61"/>
        <v>1</v>
      </c>
      <c r="H388" s="667"/>
      <c r="I388" s="21">
        <f t="shared" si="62"/>
        <v>1</v>
      </c>
      <c r="J388" s="667"/>
      <c r="K388" s="21">
        <f t="shared" si="63"/>
        <v>1</v>
      </c>
      <c r="L388" s="667"/>
      <c r="M388" s="21">
        <f t="shared" si="64"/>
        <v>1</v>
      </c>
      <c r="N388" s="667"/>
      <c r="O388" s="21">
        <f t="shared" si="65"/>
        <v>1</v>
      </c>
      <c r="P388" s="667"/>
      <c r="Q388" s="21">
        <f t="shared" si="66"/>
        <v>1</v>
      </c>
      <c r="R388" s="663">
        <f t="shared" si="67"/>
        <v>0</v>
      </c>
      <c r="S388" s="316">
        <f t="shared" si="68"/>
        <v>0</v>
      </c>
    </row>
    <row r="389" spans="1:19">
      <c r="A389" s="150"/>
      <c r="B389" s="54"/>
      <c r="C389" s="21">
        <f t="shared" si="59"/>
        <v>1</v>
      </c>
      <c r="D389" s="667"/>
      <c r="E389" s="21">
        <f t="shared" si="60"/>
        <v>1</v>
      </c>
      <c r="F389" s="667"/>
      <c r="G389" s="21">
        <f t="shared" si="61"/>
        <v>1</v>
      </c>
      <c r="H389" s="667"/>
      <c r="I389" s="21">
        <f t="shared" si="62"/>
        <v>1</v>
      </c>
      <c r="J389" s="667"/>
      <c r="K389" s="21">
        <f t="shared" si="63"/>
        <v>1</v>
      </c>
      <c r="L389" s="667"/>
      <c r="M389" s="21">
        <f t="shared" si="64"/>
        <v>1</v>
      </c>
      <c r="N389" s="667"/>
      <c r="O389" s="21">
        <f t="shared" si="65"/>
        <v>1</v>
      </c>
      <c r="P389" s="667"/>
      <c r="Q389" s="21">
        <f t="shared" si="66"/>
        <v>1</v>
      </c>
      <c r="R389" s="663">
        <f t="shared" si="67"/>
        <v>0</v>
      </c>
      <c r="S389" s="316">
        <f t="shared" si="68"/>
        <v>0</v>
      </c>
    </row>
    <row r="390" spans="1:19">
      <c r="A390" s="150"/>
      <c r="B390" s="54"/>
      <c r="C390" s="21">
        <f t="shared" si="59"/>
        <v>1</v>
      </c>
      <c r="D390" s="667"/>
      <c r="E390" s="21">
        <f t="shared" si="60"/>
        <v>1</v>
      </c>
      <c r="F390" s="667"/>
      <c r="G390" s="21">
        <f t="shared" si="61"/>
        <v>1</v>
      </c>
      <c r="H390" s="667"/>
      <c r="I390" s="21">
        <f t="shared" si="62"/>
        <v>1</v>
      </c>
      <c r="J390" s="667"/>
      <c r="K390" s="21">
        <f t="shared" si="63"/>
        <v>1</v>
      </c>
      <c r="L390" s="667"/>
      <c r="M390" s="21">
        <f t="shared" si="64"/>
        <v>1</v>
      </c>
      <c r="N390" s="667"/>
      <c r="O390" s="21">
        <f t="shared" si="65"/>
        <v>1</v>
      </c>
      <c r="P390" s="667"/>
      <c r="Q390" s="21">
        <f t="shared" si="66"/>
        <v>1</v>
      </c>
      <c r="R390" s="663">
        <f t="shared" si="67"/>
        <v>0</v>
      </c>
      <c r="S390" s="316">
        <f t="shared" si="68"/>
        <v>0</v>
      </c>
    </row>
    <row r="391" spans="1:19">
      <c r="A391" s="150"/>
      <c r="B391" s="54"/>
      <c r="C391" s="21">
        <f t="shared" si="59"/>
        <v>1</v>
      </c>
      <c r="D391" s="667"/>
      <c r="E391" s="21">
        <f t="shared" si="60"/>
        <v>1</v>
      </c>
      <c r="F391" s="667"/>
      <c r="G391" s="21">
        <f t="shared" si="61"/>
        <v>1</v>
      </c>
      <c r="H391" s="667"/>
      <c r="I391" s="21">
        <f t="shared" si="62"/>
        <v>1</v>
      </c>
      <c r="J391" s="667"/>
      <c r="K391" s="21">
        <f t="shared" si="63"/>
        <v>1</v>
      </c>
      <c r="L391" s="667"/>
      <c r="M391" s="21">
        <f t="shared" si="64"/>
        <v>1</v>
      </c>
      <c r="N391" s="667"/>
      <c r="O391" s="21">
        <f t="shared" si="65"/>
        <v>1</v>
      </c>
      <c r="P391" s="667"/>
      <c r="Q391" s="21">
        <f t="shared" si="66"/>
        <v>1</v>
      </c>
      <c r="R391" s="663">
        <f t="shared" si="67"/>
        <v>0</v>
      </c>
      <c r="S391" s="316">
        <f t="shared" si="68"/>
        <v>0</v>
      </c>
    </row>
    <row r="392" spans="1:19">
      <c r="A392" s="150"/>
      <c r="B392" s="54"/>
      <c r="C392" s="21">
        <f t="shared" si="59"/>
        <v>1</v>
      </c>
      <c r="D392" s="667"/>
      <c r="E392" s="21">
        <f t="shared" si="60"/>
        <v>1</v>
      </c>
      <c r="F392" s="667"/>
      <c r="G392" s="21">
        <f t="shared" si="61"/>
        <v>1</v>
      </c>
      <c r="H392" s="667"/>
      <c r="I392" s="21">
        <f t="shared" si="62"/>
        <v>1</v>
      </c>
      <c r="J392" s="667"/>
      <c r="K392" s="21">
        <f t="shared" si="63"/>
        <v>1</v>
      </c>
      <c r="L392" s="667"/>
      <c r="M392" s="21">
        <f t="shared" si="64"/>
        <v>1</v>
      </c>
      <c r="N392" s="667"/>
      <c r="O392" s="21">
        <f t="shared" si="65"/>
        <v>1</v>
      </c>
      <c r="P392" s="667"/>
      <c r="Q392" s="21">
        <f t="shared" si="66"/>
        <v>1</v>
      </c>
      <c r="R392" s="663">
        <f t="shared" si="67"/>
        <v>0</v>
      </c>
      <c r="S392" s="316">
        <f t="shared" si="68"/>
        <v>0</v>
      </c>
    </row>
    <row r="393" spans="1:19">
      <c r="A393" s="150"/>
      <c r="B393" s="54"/>
      <c r="C393" s="21">
        <f t="shared" si="59"/>
        <v>1</v>
      </c>
      <c r="D393" s="667"/>
      <c r="E393" s="21">
        <f t="shared" si="60"/>
        <v>1</v>
      </c>
      <c r="F393" s="667"/>
      <c r="G393" s="21">
        <f t="shared" si="61"/>
        <v>1</v>
      </c>
      <c r="H393" s="667"/>
      <c r="I393" s="21">
        <f t="shared" si="62"/>
        <v>1</v>
      </c>
      <c r="J393" s="667"/>
      <c r="K393" s="21">
        <f t="shared" si="63"/>
        <v>1</v>
      </c>
      <c r="L393" s="667"/>
      <c r="M393" s="21">
        <f t="shared" si="64"/>
        <v>1</v>
      </c>
      <c r="N393" s="667"/>
      <c r="O393" s="21">
        <f t="shared" si="65"/>
        <v>1</v>
      </c>
      <c r="P393" s="667"/>
      <c r="Q393" s="21">
        <f t="shared" si="66"/>
        <v>1</v>
      </c>
      <c r="R393" s="663">
        <f t="shared" si="67"/>
        <v>0</v>
      </c>
      <c r="S393" s="316">
        <f t="shared" si="68"/>
        <v>0</v>
      </c>
    </row>
    <row r="394" spans="1:19">
      <c r="A394" s="150"/>
      <c r="B394" s="54"/>
      <c r="C394" s="21">
        <f t="shared" si="59"/>
        <v>1</v>
      </c>
      <c r="D394" s="667"/>
      <c r="E394" s="21">
        <f t="shared" si="60"/>
        <v>1</v>
      </c>
      <c r="F394" s="667"/>
      <c r="G394" s="21">
        <f t="shared" si="61"/>
        <v>1</v>
      </c>
      <c r="H394" s="667"/>
      <c r="I394" s="21">
        <f t="shared" si="62"/>
        <v>1</v>
      </c>
      <c r="J394" s="667"/>
      <c r="K394" s="21">
        <f t="shared" si="63"/>
        <v>1</v>
      </c>
      <c r="L394" s="667"/>
      <c r="M394" s="21">
        <f t="shared" si="64"/>
        <v>1</v>
      </c>
      <c r="N394" s="667"/>
      <c r="O394" s="21">
        <f t="shared" si="65"/>
        <v>1</v>
      </c>
      <c r="P394" s="667"/>
      <c r="Q394" s="21">
        <f t="shared" si="66"/>
        <v>1</v>
      </c>
      <c r="R394" s="663">
        <f t="shared" si="67"/>
        <v>0</v>
      </c>
      <c r="S394" s="316">
        <f t="shared" si="68"/>
        <v>0</v>
      </c>
    </row>
    <row r="395" spans="1:19">
      <c r="A395" s="150"/>
      <c r="B395" s="54"/>
      <c r="C395" s="21">
        <f t="shared" si="59"/>
        <v>1</v>
      </c>
      <c r="D395" s="667"/>
      <c r="E395" s="21">
        <f t="shared" si="60"/>
        <v>1</v>
      </c>
      <c r="F395" s="667"/>
      <c r="G395" s="21">
        <f t="shared" si="61"/>
        <v>1</v>
      </c>
      <c r="H395" s="667"/>
      <c r="I395" s="21">
        <f t="shared" si="62"/>
        <v>1</v>
      </c>
      <c r="J395" s="667"/>
      <c r="K395" s="21">
        <f t="shared" si="63"/>
        <v>1</v>
      </c>
      <c r="L395" s="667"/>
      <c r="M395" s="21">
        <f t="shared" si="64"/>
        <v>1</v>
      </c>
      <c r="N395" s="667"/>
      <c r="O395" s="21">
        <f t="shared" si="65"/>
        <v>1</v>
      </c>
      <c r="P395" s="667"/>
      <c r="Q395" s="21">
        <f t="shared" si="66"/>
        <v>1</v>
      </c>
      <c r="R395" s="663">
        <f t="shared" si="67"/>
        <v>0</v>
      </c>
      <c r="S395" s="316">
        <f t="shared" si="68"/>
        <v>0</v>
      </c>
    </row>
    <row r="396" spans="1:19">
      <c r="A396" s="150"/>
      <c r="B396" s="54"/>
      <c r="C396" s="21">
        <f t="shared" si="59"/>
        <v>1</v>
      </c>
      <c r="D396" s="667"/>
      <c r="E396" s="21">
        <f t="shared" si="60"/>
        <v>1</v>
      </c>
      <c r="F396" s="667"/>
      <c r="G396" s="21">
        <f t="shared" si="61"/>
        <v>1</v>
      </c>
      <c r="H396" s="667"/>
      <c r="I396" s="21">
        <f t="shared" si="62"/>
        <v>1</v>
      </c>
      <c r="J396" s="667"/>
      <c r="K396" s="21">
        <f t="shared" si="63"/>
        <v>1</v>
      </c>
      <c r="L396" s="667"/>
      <c r="M396" s="21">
        <f t="shared" si="64"/>
        <v>1</v>
      </c>
      <c r="N396" s="667"/>
      <c r="O396" s="21">
        <f t="shared" si="65"/>
        <v>1</v>
      </c>
      <c r="P396" s="667"/>
      <c r="Q396" s="21">
        <f t="shared" si="66"/>
        <v>1</v>
      </c>
      <c r="R396" s="663">
        <f t="shared" si="67"/>
        <v>0</v>
      </c>
      <c r="S396" s="316">
        <f t="shared" si="68"/>
        <v>0</v>
      </c>
    </row>
    <row r="397" spans="1:19">
      <c r="A397" s="150"/>
      <c r="B397" s="54"/>
      <c r="C397" s="21">
        <f t="shared" si="59"/>
        <v>1</v>
      </c>
      <c r="D397" s="667"/>
      <c r="E397" s="21">
        <f t="shared" si="60"/>
        <v>1</v>
      </c>
      <c r="F397" s="667"/>
      <c r="G397" s="21">
        <f t="shared" si="61"/>
        <v>1</v>
      </c>
      <c r="H397" s="667"/>
      <c r="I397" s="21">
        <f t="shared" si="62"/>
        <v>1</v>
      </c>
      <c r="J397" s="667"/>
      <c r="K397" s="21">
        <f t="shared" si="63"/>
        <v>1</v>
      </c>
      <c r="L397" s="667"/>
      <c r="M397" s="21">
        <f t="shared" si="64"/>
        <v>1</v>
      </c>
      <c r="N397" s="667"/>
      <c r="O397" s="21">
        <f t="shared" si="65"/>
        <v>1</v>
      </c>
      <c r="P397" s="667"/>
      <c r="Q397" s="21">
        <f t="shared" si="66"/>
        <v>1</v>
      </c>
      <c r="R397" s="663">
        <f t="shared" si="67"/>
        <v>0</v>
      </c>
      <c r="S397" s="316">
        <f t="shared" si="68"/>
        <v>0</v>
      </c>
    </row>
    <row r="398" spans="1:19">
      <c r="A398" s="150"/>
      <c r="B398" s="54"/>
      <c r="C398" s="21">
        <f t="shared" si="59"/>
        <v>1</v>
      </c>
      <c r="D398" s="667"/>
      <c r="E398" s="21">
        <f t="shared" si="60"/>
        <v>1</v>
      </c>
      <c r="F398" s="667"/>
      <c r="G398" s="21">
        <f t="shared" si="61"/>
        <v>1</v>
      </c>
      <c r="H398" s="667"/>
      <c r="I398" s="21">
        <f t="shared" si="62"/>
        <v>1</v>
      </c>
      <c r="J398" s="667"/>
      <c r="K398" s="21">
        <f t="shared" si="63"/>
        <v>1</v>
      </c>
      <c r="L398" s="667"/>
      <c r="M398" s="21">
        <f t="shared" si="64"/>
        <v>1</v>
      </c>
      <c r="N398" s="667"/>
      <c r="O398" s="21">
        <f t="shared" si="65"/>
        <v>1</v>
      </c>
      <c r="P398" s="667"/>
      <c r="Q398" s="21">
        <f t="shared" si="66"/>
        <v>1</v>
      </c>
      <c r="R398" s="663">
        <f t="shared" si="67"/>
        <v>0</v>
      </c>
      <c r="S398" s="316">
        <f t="shared" si="68"/>
        <v>0</v>
      </c>
    </row>
    <row r="399" spans="1:19">
      <c r="A399" s="150"/>
      <c r="B399" s="54"/>
      <c r="C399" s="21">
        <f t="shared" si="59"/>
        <v>1</v>
      </c>
      <c r="D399" s="667"/>
      <c r="E399" s="21">
        <f t="shared" si="60"/>
        <v>1</v>
      </c>
      <c r="F399" s="667"/>
      <c r="G399" s="21">
        <f t="shared" si="61"/>
        <v>1</v>
      </c>
      <c r="H399" s="667"/>
      <c r="I399" s="21">
        <f t="shared" si="62"/>
        <v>1</v>
      </c>
      <c r="J399" s="667"/>
      <c r="K399" s="21">
        <f t="shared" si="63"/>
        <v>1</v>
      </c>
      <c r="L399" s="667"/>
      <c r="M399" s="21">
        <f t="shared" si="64"/>
        <v>1</v>
      </c>
      <c r="N399" s="667"/>
      <c r="O399" s="21">
        <f t="shared" si="65"/>
        <v>1</v>
      </c>
      <c r="P399" s="667"/>
      <c r="Q399" s="21">
        <f t="shared" si="66"/>
        <v>1</v>
      </c>
      <c r="R399" s="663">
        <f t="shared" si="67"/>
        <v>0</v>
      </c>
      <c r="S399" s="316">
        <f t="shared" si="68"/>
        <v>0</v>
      </c>
    </row>
    <row r="400" spans="1:19">
      <c r="A400" s="150"/>
      <c r="B400" s="54"/>
      <c r="C400" s="21">
        <f t="shared" si="59"/>
        <v>1</v>
      </c>
      <c r="D400" s="667"/>
      <c r="E400" s="21">
        <f t="shared" si="60"/>
        <v>1</v>
      </c>
      <c r="F400" s="667"/>
      <c r="G400" s="21">
        <f t="shared" si="61"/>
        <v>1</v>
      </c>
      <c r="H400" s="667"/>
      <c r="I400" s="21">
        <f t="shared" si="62"/>
        <v>1</v>
      </c>
      <c r="J400" s="667"/>
      <c r="K400" s="21">
        <f t="shared" si="63"/>
        <v>1</v>
      </c>
      <c r="L400" s="667"/>
      <c r="M400" s="21">
        <f t="shared" si="64"/>
        <v>1</v>
      </c>
      <c r="N400" s="667"/>
      <c r="O400" s="21">
        <f t="shared" si="65"/>
        <v>1</v>
      </c>
      <c r="P400" s="667"/>
      <c r="Q400" s="21">
        <f t="shared" si="66"/>
        <v>1</v>
      </c>
      <c r="R400" s="663">
        <f t="shared" si="67"/>
        <v>0</v>
      </c>
      <c r="S400" s="316">
        <f t="shared" si="68"/>
        <v>0</v>
      </c>
    </row>
    <row r="401" spans="1:19">
      <c r="A401" s="150"/>
      <c r="B401" s="54"/>
      <c r="C401" s="21">
        <f t="shared" si="59"/>
        <v>1</v>
      </c>
      <c r="D401" s="667"/>
      <c r="E401" s="21">
        <f t="shared" si="60"/>
        <v>1</v>
      </c>
      <c r="F401" s="667"/>
      <c r="G401" s="21">
        <f t="shared" si="61"/>
        <v>1</v>
      </c>
      <c r="H401" s="667"/>
      <c r="I401" s="21">
        <f t="shared" si="62"/>
        <v>1</v>
      </c>
      <c r="J401" s="667"/>
      <c r="K401" s="21">
        <f t="shared" si="63"/>
        <v>1</v>
      </c>
      <c r="L401" s="667"/>
      <c r="M401" s="21">
        <f t="shared" si="64"/>
        <v>1</v>
      </c>
      <c r="N401" s="667"/>
      <c r="O401" s="21">
        <f t="shared" si="65"/>
        <v>1</v>
      </c>
      <c r="P401" s="667"/>
      <c r="Q401" s="21">
        <f t="shared" si="66"/>
        <v>1</v>
      </c>
      <c r="R401" s="663">
        <f t="shared" si="67"/>
        <v>0</v>
      </c>
      <c r="S401" s="316">
        <f t="shared" si="68"/>
        <v>0</v>
      </c>
    </row>
    <row r="402" spans="1:19">
      <c r="A402" s="150"/>
      <c r="B402" s="54"/>
      <c r="C402" s="21">
        <f t="shared" si="59"/>
        <v>1</v>
      </c>
      <c r="D402" s="667"/>
      <c r="E402" s="21">
        <f t="shared" si="60"/>
        <v>1</v>
      </c>
      <c r="F402" s="667"/>
      <c r="G402" s="21">
        <f t="shared" si="61"/>
        <v>1</v>
      </c>
      <c r="H402" s="667"/>
      <c r="I402" s="21">
        <f t="shared" si="62"/>
        <v>1</v>
      </c>
      <c r="J402" s="667"/>
      <c r="K402" s="21">
        <f t="shared" si="63"/>
        <v>1</v>
      </c>
      <c r="L402" s="667"/>
      <c r="M402" s="21">
        <f t="shared" si="64"/>
        <v>1</v>
      </c>
      <c r="N402" s="667"/>
      <c r="O402" s="21">
        <f t="shared" si="65"/>
        <v>1</v>
      </c>
      <c r="P402" s="667"/>
      <c r="Q402" s="21">
        <f t="shared" si="66"/>
        <v>1</v>
      </c>
      <c r="R402" s="663">
        <f t="shared" si="67"/>
        <v>0</v>
      </c>
      <c r="S402" s="316">
        <f t="shared" si="68"/>
        <v>0</v>
      </c>
    </row>
    <row r="403" spans="1:19">
      <c r="A403" s="150"/>
      <c r="B403" s="54"/>
      <c r="C403" s="21">
        <f t="shared" si="59"/>
        <v>1</v>
      </c>
      <c r="D403" s="667"/>
      <c r="E403" s="21">
        <f t="shared" si="60"/>
        <v>1</v>
      </c>
      <c r="F403" s="667"/>
      <c r="G403" s="21">
        <f t="shared" si="61"/>
        <v>1</v>
      </c>
      <c r="H403" s="667"/>
      <c r="I403" s="21">
        <f t="shared" si="62"/>
        <v>1</v>
      </c>
      <c r="J403" s="667"/>
      <c r="K403" s="21">
        <f t="shared" si="63"/>
        <v>1</v>
      </c>
      <c r="L403" s="667"/>
      <c r="M403" s="21">
        <f t="shared" si="64"/>
        <v>1</v>
      </c>
      <c r="N403" s="667"/>
      <c r="O403" s="21">
        <f t="shared" si="65"/>
        <v>1</v>
      </c>
      <c r="P403" s="667"/>
      <c r="Q403" s="21">
        <f t="shared" si="66"/>
        <v>1</v>
      </c>
      <c r="R403" s="663">
        <f t="shared" si="67"/>
        <v>0</v>
      </c>
      <c r="S403" s="316">
        <f t="shared" si="68"/>
        <v>0</v>
      </c>
    </row>
    <row r="404" spans="1:19">
      <c r="A404" s="150"/>
      <c r="B404" s="54"/>
      <c r="C404" s="21">
        <f t="shared" si="59"/>
        <v>1</v>
      </c>
      <c r="D404" s="667"/>
      <c r="E404" s="21">
        <f t="shared" si="60"/>
        <v>1</v>
      </c>
      <c r="F404" s="667"/>
      <c r="G404" s="21">
        <f t="shared" si="61"/>
        <v>1</v>
      </c>
      <c r="H404" s="667"/>
      <c r="I404" s="21">
        <f t="shared" si="62"/>
        <v>1</v>
      </c>
      <c r="J404" s="667"/>
      <c r="K404" s="21">
        <f t="shared" si="63"/>
        <v>1</v>
      </c>
      <c r="L404" s="667"/>
      <c r="M404" s="21">
        <f t="shared" si="64"/>
        <v>1</v>
      </c>
      <c r="N404" s="667"/>
      <c r="O404" s="21">
        <f t="shared" si="65"/>
        <v>1</v>
      </c>
      <c r="P404" s="667"/>
      <c r="Q404" s="21">
        <f t="shared" si="66"/>
        <v>1</v>
      </c>
      <c r="R404" s="663">
        <f t="shared" si="67"/>
        <v>0</v>
      </c>
      <c r="S404" s="316">
        <f t="shared" si="68"/>
        <v>0</v>
      </c>
    </row>
    <row r="405" spans="1:19">
      <c r="A405" s="150"/>
      <c r="B405" s="54"/>
      <c r="C405" s="21">
        <f t="shared" si="59"/>
        <v>1</v>
      </c>
      <c r="D405" s="667"/>
      <c r="E405" s="21">
        <f t="shared" si="60"/>
        <v>1</v>
      </c>
      <c r="F405" s="667"/>
      <c r="G405" s="21">
        <f t="shared" si="61"/>
        <v>1</v>
      </c>
      <c r="H405" s="667"/>
      <c r="I405" s="21">
        <f t="shared" si="62"/>
        <v>1</v>
      </c>
      <c r="J405" s="667"/>
      <c r="K405" s="21">
        <f t="shared" si="63"/>
        <v>1</v>
      </c>
      <c r="L405" s="667"/>
      <c r="M405" s="21">
        <f t="shared" si="64"/>
        <v>1</v>
      </c>
      <c r="N405" s="667"/>
      <c r="O405" s="21">
        <f t="shared" si="65"/>
        <v>1</v>
      </c>
      <c r="P405" s="667"/>
      <c r="Q405" s="21">
        <f t="shared" si="66"/>
        <v>1</v>
      </c>
      <c r="R405" s="663">
        <f t="shared" si="67"/>
        <v>0</v>
      </c>
      <c r="S405" s="316">
        <f t="shared" si="68"/>
        <v>0</v>
      </c>
    </row>
    <row r="406" spans="1:19">
      <c r="A406" s="150"/>
      <c r="B406" s="54"/>
      <c r="C406" s="21">
        <f t="shared" si="59"/>
        <v>1</v>
      </c>
      <c r="D406" s="667"/>
      <c r="E406" s="21">
        <f t="shared" si="60"/>
        <v>1</v>
      </c>
      <c r="F406" s="667"/>
      <c r="G406" s="21">
        <f t="shared" si="61"/>
        <v>1</v>
      </c>
      <c r="H406" s="667"/>
      <c r="I406" s="21">
        <f t="shared" si="62"/>
        <v>1</v>
      </c>
      <c r="J406" s="667"/>
      <c r="K406" s="21">
        <f t="shared" si="63"/>
        <v>1</v>
      </c>
      <c r="L406" s="667"/>
      <c r="M406" s="21">
        <f t="shared" si="64"/>
        <v>1</v>
      </c>
      <c r="N406" s="667"/>
      <c r="O406" s="21">
        <f t="shared" si="65"/>
        <v>1</v>
      </c>
      <c r="P406" s="667"/>
      <c r="Q406" s="21">
        <f t="shared" si="66"/>
        <v>1</v>
      </c>
      <c r="R406" s="663">
        <f t="shared" si="67"/>
        <v>0</v>
      </c>
      <c r="S406" s="316">
        <f t="shared" si="68"/>
        <v>0</v>
      </c>
    </row>
    <row r="407" spans="1:19">
      <c r="A407" s="150"/>
      <c r="B407" s="54"/>
      <c r="C407" s="21">
        <f t="shared" si="59"/>
        <v>1</v>
      </c>
      <c r="D407" s="667"/>
      <c r="E407" s="21">
        <f t="shared" si="60"/>
        <v>1</v>
      </c>
      <c r="F407" s="667"/>
      <c r="G407" s="21">
        <f t="shared" si="61"/>
        <v>1</v>
      </c>
      <c r="H407" s="667"/>
      <c r="I407" s="21">
        <f t="shared" si="62"/>
        <v>1</v>
      </c>
      <c r="J407" s="667"/>
      <c r="K407" s="21">
        <f t="shared" si="63"/>
        <v>1</v>
      </c>
      <c r="L407" s="667"/>
      <c r="M407" s="21">
        <f t="shared" si="64"/>
        <v>1</v>
      </c>
      <c r="N407" s="667"/>
      <c r="O407" s="21">
        <f t="shared" si="65"/>
        <v>1</v>
      </c>
      <c r="P407" s="667"/>
      <c r="Q407" s="21">
        <f t="shared" si="66"/>
        <v>1</v>
      </c>
      <c r="R407" s="663">
        <f t="shared" si="67"/>
        <v>0</v>
      </c>
      <c r="S407" s="316">
        <f t="shared" si="68"/>
        <v>0</v>
      </c>
    </row>
    <row r="408" spans="1:19">
      <c r="A408" s="150"/>
      <c r="B408" s="54"/>
      <c r="C408" s="21">
        <f t="shared" si="59"/>
        <v>1</v>
      </c>
      <c r="D408" s="667"/>
      <c r="E408" s="21">
        <f t="shared" si="60"/>
        <v>1</v>
      </c>
      <c r="F408" s="667"/>
      <c r="G408" s="21">
        <f t="shared" si="61"/>
        <v>1</v>
      </c>
      <c r="H408" s="667"/>
      <c r="I408" s="21">
        <f t="shared" si="62"/>
        <v>1</v>
      </c>
      <c r="J408" s="667"/>
      <c r="K408" s="21">
        <f t="shared" si="63"/>
        <v>1</v>
      </c>
      <c r="L408" s="667"/>
      <c r="M408" s="21">
        <f t="shared" si="64"/>
        <v>1</v>
      </c>
      <c r="N408" s="667"/>
      <c r="O408" s="21">
        <f t="shared" si="65"/>
        <v>1</v>
      </c>
      <c r="P408" s="667"/>
      <c r="Q408" s="21">
        <f t="shared" si="66"/>
        <v>1</v>
      </c>
      <c r="R408" s="663">
        <f t="shared" si="67"/>
        <v>0</v>
      </c>
      <c r="S408" s="316">
        <f t="shared" si="68"/>
        <v>0</v>
      </c>
    </row>
    <row r="409" spans="1:19">
      <c r="A409" s="150"/>
      <c r="B409" s="54"/>
      <c r="C409" s="21">
        <f t="shared" si="59"/>
        <v>1</v>
      </c>
      <c r="D409" s="667"/>
      <c r="E409" s="21">
        <f t="shared" si="60"/>
        <v>1</v>
      </c>
      <c r="F409" s="667"/>
      <c r="G409" s="21">
        <f t="shared" si="61"/>
        <v>1</v>
      </c>
      <c r="H409" s="667"/>
      <c r="I409" s="21">
        <f t="shared" si="62"/>
        <v>1</v>
      </c>
      <c r="J409" s="667"/>
      <c r="K409" s="21">
        <f t="shared" si="63"/>
        <v>1</v>
      </c>
      <c r="L409" s="667"/>
      <c r="M409" s="21">
        <f t="shared" si="64"/>
        <v>1</v>
      </c>
      <c r="N409" s="667"/>
      <c r="O409" s="21">
        <f t="shared" si="65"/>
        <v>1</v>
      </c>
      <c r="P409" s="667"/>
      <c r="Q409" s="21">
        <f t="shared" si="66"/>
        <v>1</v>
      </c>
      <c r="R409" s="663">
        <f t="shared" si="67"/>
        <v>0</v>
      </c>
      <c r="S409" s="316">
        <f t="shared" si="68"/>
        <v>0</v>
      </c>
    </row>
    <row r="410" spans="1:19">
      <c r="A410" s="150"/>
      <c r="B410" s="54"/>
      <c r="C410" s="21">
        <f t="shared" ref="C410:C473" si="69">IF(B410="",1,(LOOKUP(B410,$3:$3,$4:$4)-LOOKUP($B$24,$3:$3,$4:$4)+100)/100)</f>
        <v>1</v>
      </c>
      <c r="D410" s="667"/>
      <c r="E410" s="21">
        <f t="shared" ref="E410:E473" si="70">(SUMIF($5:$5,D410,$6:$6)-SUMIF($5:$5,$D$24,$6:$6)+100)/100</f>
        <v>1</v>
      </c>
      <c r="F410" s="667"/>
      <c r="G410" s="21">
        <f t="shared" ref="G410:G473" si="71">(SUMIF($7:$7,F410,$8:$8)-SUMIF($7:$7,$F$24,$8:$8)+100)/100</f>
        <v>1</v>
      </c>
      <c r="H410" s="667"/>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c r="Q410" s="21">
        <f t="shared" ref="Q410:Q473" si="76">(SUMIF($17:$17,P410,$18:$18)-SUMIF($17:$17,$P$24,$18:$18)+100)/100</f>
        <v>1</v>
      </c>
      <c r="R410" s="663">
        <f t="shared" ref="R410:R473" si="77">IF(B410="",0,ROUND($R$24*C410*E410*G410*I410*K410*M410*O410*Q410,0))</f>
        <v>0</v>
      </c>
      <c r="S410" s="316">
        <f t="shared" si="68"/>
        <v>0</v>
      </c>
    </row>
    <row r="411" spans="1:19">
      <c r="A411" s="150"/>
      <c r="B411" s="54"/>
      <c r="C411" s="21">
        <f t="shared" si="69"/>
        <v>1</v>
      </c>
      <c r="D411" s="667"/>
      <c r="E411" s="21">
        <f t="shared" si="70"/>
        <v>1</v>
      </c>
      <c r="F411" s="667"/>
      <c r="G411" s="21">
        <f t="shared" si="71"/>
        <v>1</v>
      </c>
      <c r="H411" s="667"/>
      <c r="I411" s="21">
        <f t="shared" si="72"/>
        <v>1</v>
      </c>
      <c r="J411" s="667"/>
      <c r="K411" s="21">
        <f t="shared" si="73"/>
        <v>1</v>
      </c>
      <c r="L411" s="667"/>
      <c r="M411" s="21">
        <f t="shared" si="74"/>
        <v>1</v>
      </c>
      <c r="N411" s="667"/>
      <c r="O411" s="21">
        <f t="shared" si="75"/>
        <v>1</v>
      </c>
      <c r="P411" s="667"/>
      <c r="Q411" s="21">
        <f t="shared" si="76"/>
        <v>1</v>
      </c>
      <c r="R411" s="663">
        <f t="shared" si="77"/>
        <v>0</v>
      </c>
      <c r="S411" s="316">
        <f t="shared" si="68"/>
        <v>0</v>
      </c>
    </row>
    <row r="412" spans="1:19">
      <c r="A412" s="150"/>
      <c r="B412" s="54"/>
      <c r="C412" s="21">
        <f t="shared" si="69"/>
        <v>1</v>
      </c>
      <c r="D412" s="667"/>
      <c r="E412" s="21">
        <f t="shared" si="70"/>
        <v>1</v>
      </c>
      <c r="F412" s="667"/>
      <c r="G412" s="21">
        <f t="shared" si="71"/>
        <v>1</v>
      </c>
      <c r="H412" s="667"/>
      <c r="I412" s="21">
        <f t="shared" si="72"/>
        <v>1</v>
      </c>
      <c r="J412" s="667"/>
      <c r="K412" s="21">
        <f t="shared" si="73"/>
        <v>1</v>
      </c>
      <c r="L412" s="667"/>
      <c r="M412" s="21">
        <f t="shared" si="74"/>
        <v>1</v>
      </c>
      <c r="N412" s="667"/>
      <c r="O412" s="21">
        <f t="shared" si="75"/>
        <v>1</v>
      </c>
      <c r="P412" s="667"/>
      <c r="Q412" s="21">
        <f t="shared" si="76"/>
        <v>1</v>
      </c>
      <c r="R412" s="663">
        <f t="shared" si="77"/>
        <v>0</v>
      </c>
      <c r="S412" s="316">
        <f t="shared" si="68"/>
        <v>0</v>
      </c>
    </row>
    <row r="413" spans="1:19">
      <c r="A413" s="150"/>
      <c r="B413" s="54"/>
      <c r="C413" s="21">
        <f t="shared" si="69"/>
        <v>1</v>
      </c>
      <c r="D413" s="667"/>
      <c r="E413" s="21">
        <f t="shared" si="70"/>
        <v>1</v>
      </c>
      <c r="F413" s="667"/>
      <c r="G413" s="21">
        <f t="shared" si="71"/>
        <v>1</v>
      </c>
      <c r="H413" s="667"/>
      <c r="I413" s="21">
        <f t="shared" si="72"/>
        <v>1</v>
      </c>
      <c r="J413" s="667"/>
      <c r="K413" s="21">
        <f t="shared" si="73"/>
        <v>1</v>
      </c>
      <c r="L413" s="667"/>
      <c r="M413" s="21">
        <f t="shared" si="74"/>
        <v>1</v>
      </c>
      <c r="N413" s="667"/>
      <c r="O413" s="21">
        <f t="shared" si="75"/>
        <v>1</v>
      </c>
      <c r="P413" s="667"/>
      <c r="Q413" s="21">
        <f t="shared" si="76"/>
        <v>1</v>
      </c>
      <c r="R413" s="663">
        <f t="shared" si="77"/>
        <v>0</v>
      </c>
      <c r="S413" s="316">
        <f t="shared" si="68"/>
        <v>0</v>
      </c>
    </row>
    <row r="414" spans="1:19">
      <c r="A414" s="150"/>
      <c r="B414" s="54"/>
      <c r="C414" s="21">
        <f t="shared" si="69"/>
        <v>1</v>
      </c>
      <c r="D414" s="667"/>
      <c r="E414" s="21">
        <f t="shared" si="70"/>
        <v>1</v>
      </c>
      <c r="F414" s="667"/>
      <c r="G414" s="21">
        <f t="shared" si="71"/>
        <v>1</v>
      </c>
      <c r="H414" s="667"/>
      <c r="I414" s="21">
        <f t="shared" si="72"/>
        <v>1</v>
      </c>
      <c r="J414" s="667"/>
      <c r="K414" s="21">
        <f t="shared" si="73"/>
        <v>1</v>
      </c>
      <c r="L414" s="667"/>
      <c r="M414" s="21">
        <f t="shared" si="74"/>
        <v>1</v>
      </c>
      <c r="N414" s="667"/>
      <c r="O414" s="21">
        <f t="shared" si="75"/>
        <v>1</v>
      </c>
      <c r="P414" s="667"/>
      <c r="Q414" s="21">
        <f t="shared" si="76"/>
        <v>1</v>
      </c>
      <c r="R414" s="663">
        <f t="shared" si="77"/>
        <v>0</v>
      </c>
      <c r="S414" s="316">
        <f t="shared" si="68"/>
        <v>0</v>
      </c>
    </row>
    <row r="415" spans="1:19">
      <c r="A415" s="150"/>
      <c r="B415" s="54"/>
      <c r="C415" s="21">
        <f t="shared" si="69"/>
        <v>1</v>
      </c>
      <c r="D415" s="667"/>
      <c r="E415" s="21">
        <f t="shared" si="70"/>
        <v>1</v>
      </c>
      <c r="F415" s="667"/>
      <c r="G415" s="21">
        <f t="shared" si="71"/>
        <v>1</v>
      </c>
      <c r="H415" s="667"/>
      <c r="I415" s="21">
        <f t="shared" si="72"/>
        <v>1</v>
      </c>
      <c r="J415" s="667"/>
      <c r="K415" s="21">
        <f t="shared" si="73"/>
        <v>1</v>
      </c>
      <c r="L415" s="667"/>
      <c r="M415" s="21">
        <f t="shared" si="74"/>
        <v>1</v>
      </c>
      <c r="N415" s="667"/>
      <c r="O415" s="21">
        <f t="shared" si="75"/>
        <v>1</v>
      </c>
      <c r="P415" s="667"/>
      <c r="Q415" s="21">
        <f t="shared" si="76"/>
        <v>1</v>
      </c>
      <c r="R415" s="663">
        <f t="shared" si="77"/>
        <v>0</v>
      </c>
      <c r="S415" s="316">
        <f t="shared" si="68"/>
        <v>0</v>
      </c>
    </row>
    <row r="416" spans="1:19">
      <c r="A416" s="150"/>
      <c r="B416" s="54"/>
      <c r="C416" s="21">
        <f t="shared" si="69"/>
        <v>1</v>
      </c>
      <c r="D416" s="667"/>
      <c r="E416" s="21">
        <f t="shared" si="70"/>
        <v>1</v>
      </c>
      <c r="F416" s="667"/>
      <c r="G416" s="21">
        <f t="shared" si="71"/>
        <v>1</v>
      </c>
      <c r="H416" s="667"/>
      <c r="I416" s="21">
        <f t="shared" si="72"/>
        <v>1</v>
      </c>
      <c r="J416" s="667"/>
      <c r="K416" s="21">
        <f t="shared" si="73"/>
        <v>1</v>
      </c>
      <c r="L416" s="667"/>
      <c r="M416" s="21">
        <f t="shared" si="74"/>
        <v>1</v>
      </c>
      <c r="N416" s="667"/>
      <c r="O416" s="21">
        <f t="shared" si="75"/>
        <v>1</v>
      </c>
      <c r="P416" s="667"/>
      <c r="Q416" s="21">
        <f t="shared" si="76"/>
        <v>1</v>
      </c>
      <c r="R416" s="663">
        <f t="shared" si="77"/>
        <v>0</v>
      </c>
      <c r="S416" s="316">
        <f t="shared" si="68"/>
        <v>0</v>
      </c>
    </row>
    <row r="417" spans="1:19">
      <c r="A417" s="150"/>
      <c r="B417" s="54"/>
      <c r="C417" s="21">
        <f t="shared" si="69"/>
        <v>1</v>
      </c>
      <c r="D417" s="667"/>
      <c r="E417" s="21">
        <f t="shared" si="70"/>
        <v>1</v>
      </c>
      <c r="F417" s="667"/>
      <c r="G417" s="21">
        <f t="shared" si="71"/>
        <v>1</v>
      </c>
      <c r="H417" s="667"/>
      <c r="I417" s="21">
        <f t="shared" si="72"/>
        <v>1</v>
      </c>
      <c r="J417" s="667"/>
      <c r="K417" s="21">
        <f t="shared" si="73"/>
        <v>1</v>
      </c>
      <c r="L417" s="667"/>
      <c r="M417" s="21">
        <f t="shared" si="74"/>
        <v>1</v>
      </c>
      <c r="N417" s="667"/>
      <c r="O417" s="21">
        <f t="shared" si="75"/>
        <v>1</v>
      </c>
      <c r="P417" s="667"/>
      <c r="Q417" s="21">
        <f t="shared" si="76"/>
        <v>1</v>
      </c>
      <c r="R417" s="663">
        <f t="shared" si="77"/>
        <v>0</v>
      </c>
      <c r="S417" s="316">
        <f t="shared" si="68"/>
        <v>0</v>
      </c>
    </row>
    <row r="418" spans="1:19">
      <c r="A418" s="150"/>
      <c r="B418" s="54"/>
      <c r="C418" s="21">
        <f t="shared" si="69"/>
        <v>1</v>
      </c>
      <c r="D418" s="667"/>
      <c r="E418" s="21">
        <f t="shared" si="70"/>
        <v>1</v>
      </c>
      <c r="F418" s="667"/>
      <c r="G418" s="21">
        <f t="shared" si="71"/>
        <v>1</v>
      </c>
      <c r="H418" s="667"/>
      <c r="I418" s="21">
        <f t="shared" si="72"/>
        <v>1</v>
      </c>
      <c r="J418" s="667"/>
      <c r="K418" s="21">
        <f t="shared" si="73"/>
        <v>1</v>
      </c>
      <c r="L418" s="667"/>
      <c r="M418" s="21">
        <f t="shared" si="74"/>
        <v>1</v>
      </c>
      <c r="N418" s="667"/>
      <c r="O418" s="21">
        <f t="shared" si="75"/>
        <v>1</v>
      </c>
      <c r="P418" s="667"/>
      <c r="Q418" s="21">
        <f t="shared" si="76"/>
        <v>1</v>
      </c>
      <c r="R418" s="663">
        <f t="shared" si="77"/>
        <v>0</v>
      </c>
      <c r="S418" s="316">
        <f t="shared" si="68"/>
        <v>0</v>
      </c>
    </row>
    <row r="419" spans="1:19">
      <c r="A419" s="150"/>
      <c r="B419" s="54"/>
      <c r="C419" s="21">
        <f t="shared" si="69"/>
        <v>1</v>
      </c>
      <c r="D419" s="667"/>
      <c r="E419" s="21">
        <f t="shared" si="70"/>
        <v>1</v>
      </c>
      <c r="F419" s="667"/>
      <c r="G419" s="21">
        <f t="shared" si="71"/>
        <v>1</v>
      </c>
      <c r="H419" s="667"/>
      <c r="I419" s="21">
        <f t="shared" si="72"/>
        <v>1</v>
      </c>
      <c r="J419" s="667"/>
      <c r="K419" s="21">
        <f t="shared" si="73"/>
        <v>1</v>
      </c>
      <c r="L419" s="667"/>
      <c r="M419" s="21">
        <f t="shared" si="74"/>
        <v>1</v>
      </c>
      <c r="N419" s="667"/>
      <c r="O419" s="21">
        <f t="shared" si="75"/>
        <v>1</v>
      </c>
      <c r="P419" s="667"/>
      <c r="Q419" s="21">
        <f t="shared" si="76"/>
        <v>1</v>
      </c>
      <c r="R419" s="663">
        <f t="shared" si="77"/>
        <v>0</v>
      </c>
      <c r="S419" s="316">
        <f t="shared" si="68"/>
        <v>0</v>
      </c>
    </row>
    <row r="420" spans="1:19">
      <c r="A420" s="150"/>
      <c r="B420" s="54"/>
      <c r="C420" s="21">
        <f t="shared" si="69"/>
        <v>1</v>
      </c>
      <c r="D420" s="667"/>
      <c r="E420" s="21">
        <f t="shared" si="70"/>
        <v>1</v>
      </c>
      <c r="F420" s="667"/>
      <c r="G420" s="21">
        <f t="shared" si="71"/>
        <v>1</v>
      </c>
      <c r="H420" s="667"/>
      <c r="I420" s="21">
        <f t="shared" si="72"/>
        <v>1</v>
      </c>
      <c r="J420" s="667"/>
      <c r="K420" s="21">
        <f t="shared" si="73"/>
        <v>1</v>
      </c>
      <c r="L420" s="667"/>
      <c r="M420" s="21">
        <f t="shared" si="74"/>
        <v>1</v>
      </c>
      <c r="N420" s="667"/>
      <c r="O420" s="21">
        <f t="shared" si="75"/>
        <v>1</v>
      </c>
      <c r="P420" s="667"/>
      <c r="Q420" s="21">
        <f t="shared" si="76"/>
        <v>1</v>
      </c>
      <c r="R420" s="663">
        <f t="shared" si="77"/>
        <v>0</v>
      </c>
      <c r="S420" s="316">
        <f t="shared" si="68"/>
        <v>0</v>
      </c>
    </row>
    <row r="421" spans="1:19">
      <c r="A421" s="150"/>
      <c r="B421" s="54"/>
      <c r="C421" s="21">
        <f t="shared" si="69"/>
        <v>1</v>
      </c>
      <c r="D421" s="667"/>
      <c r="E421" s="21">
        <f t="shared" si="70"/>
        <v>1</v>
      </c>
      <c r="F421" s="667"/>
      <c r="G421" s="21">
        <f t="shared" si="71"/>
        <v>1</v>
      </c>
      <c r="H421" s="667"/>
      <c r="I421" s="21">
        <f t="shared" si="72"/>
        <v>1</v>
      </c>
      <c r="J421" s="667"/>
      <c r="K421" s="21">
        <f t="shared" si="73"/>
        <v>1</v>
      </c>
      <c r="L421" s="667"/>
      <c r="M421" s="21">
        <f t="shared" si="74"/>
        <v>1</v>
      </c>
      <c r="N421" s="667"/>
      <c r="O421" s="21">
        <f t="shared" si="75"/>
        <v>1</v>
      </c>
      <c r="P421" s="667"/>
      <c r="Q421" s="21">
        <f t="shared" si="76"/>
        <v>1</v>
      </c>
      <c r="R421" s="663">
        <f t="shared" si="77"/>
        <v>0</v>
      </c>
      <c r="S421" s="316">
        <f t="shared" si="68"/>
        <v>0</v>
      </c>
    </row>
    <row r="422" spans="1:19">
      <c r="A422" s="150"/>
      <c r="B422" s="54"/>
      <c r="C422" s="21">
        <f t="shared" si="69"/>
        <v>1</v>
      </c>
      <c r="D422" s="667"/>
      <c r="E422" s="21">
        <f t="shared" si="70"/>
        <v>1</v>
      </c>
      <c r="F422" s="667"/>
      <c r="G422" s="21">
        <f t="shared" si="71"/>
        <v>1</v>
      </c>
      <c r="H422" s="667"/>
      <c r="I422" s="21">
        <f t="shared" si="72"/>
        <v>1</v>
      </c>
      <c r="J422" s="667"/>
      <c r="K422" s="21">
        <f t="shared" si="73"/>
        <v>1</v>
      </c>
      <c r="L422" s="667"/>
      <c r="M422" s="21">
        <f t="shared" si="74"/>
        <v>1</v>
      </c>
      <c r="N422" s="667"/>
      <c r="O422" s="21">
        <f t="shared" si="75"/>
        <v>1</v>
      </c>
      <c r="P422" s="667"/>
      <c r="Q422" s="21">
        <f t="shared" si="76"/>
        <v>1</v>
      </c>
      <c r="R422" s="663">
        <f t="shared" si="77"/>
        <v>0</v>
      </c>
      <c r="S422" s="316">
        <f t="shared" si="68"/>
        <v>0</v>
      </c>
    </row>
    <row r="423" spans="1:19">
      <c r="A423" s="150"/>
      <c r="B423" s="54"/>
      <c r="C423" s="21">
        <f t="shared" si="69"/>
        <v>1</v>
      </c>
      <c r="D423" s="667"/>
      <c r="E423" s="21">
        <f t="shared" si="70"/>
        <v>1</v>
      </c>
      <c r="F423" s="667"/>
      <c r="G423" s="21">
        <f t="shared" si="71"/>
        <v>1</v>
      </c>
      <c r="H423" s="667"/>
      <c r="I423" s="21">
        <f t="shared" si="72"/>
        <v>1</v>
      </c>
      <c r="J423" s="667"/>
      <c r="K423" s="21">
        <f t="shared" si="73"/>
        <v>1</v>
      </c>
      <c r="L423" s="667"/>
      <c r="M423" s="21">
        <f t="shared" si="74"/>
        <v>1</v>
      </c>
      <c r="N423" s="667"/>
      <c r="O423" s="21">
        <f t="shared" si="75"/>
        <v>1</v>
      </c>
      <c r="P423" s="667"/>
      <c r="Q423" s="21">
        <f t="shared" si="76"/>
        <v>1</v>
      </c>
      <c r="R423" s="663">
        <f t="shared" si="77"/>
        <v>0</v>
      </c>
      <c r="S423" s="316">
        <f t="shared" ref="S423:S467" si="78">ROUND(R423*B423/10000,0)</f>
        <v>0</v>
      </c>
    </row>
    <row r="424" spans="1:19">
      <c r="A424" s="150"/>
      <c r="B424" s="54"/>
      <c r="C424" s="21">
        <f t="shared" si="69"/>
        <v>1</v>
      </c>
      <c r="D424" s="667"/>
      <c r="E424" s="21">
        <f t="shared" si="70"/>
        <v>1</v>
      </c>
      <c r="F424" s="667"/>
      <c r="G424" s="21">
        <f t="shared" si="71"/>
        <v>1</v>
      </c>
      <c r="H424" s="667"/>
      <c r="I424" s="21">
        <f t="shared" si="72"/>
        <v>1</v>
      </c>
      <c r="J424" s="667"/>
      <c r="K424" s="21">
        <f t="shared" si="73"/>
        <v>1</v>
      </c>
      <c r="L424" s="667"/>
      <c r="M424" s="21">
        <f t="shared" si="74"/>
        <v>1</v>
      </c>
      <c r="N424" s="667"/>
      <c r="O424" s="21">
        <f t="shared" si="75"/>
        <v>1</v>
      </c>
      <c r="P424" s="667"/>
      <c r="Q424" s="21">
        <f t="shared" si="76"/>
        <v>1</v>
      </c>
      <c r="R424" s="663">
        <f t="shared" si="77"/>
        <v>0</v>
      </c>
      <c r="S424" s="316">
        <f t="shared" si="78"/>
        <v>0</v>
      </c>
    </row>
    <row r="425" spans="1:19">
      <c r="A425" s="150"/>
      <c r="B425" s="54"/>
      <c r="C425" s="21">
        <f t="shared" si="69"/>
        <v>1</v>
      </c>
      <c r="D425" s="667"/>
      <c r="E425" s="21">
        <f t="shared" si="70"/>
        <v>1</v>
      </c>
      <c r="F425" s="667"/>
      <c r="G425" s="21">
        <f t="shared" si="71"/>
        <v>1</v>
      </c>
      <c r="H425" s="667"/>
      <c r="I425" s="21">
        <f t="shared" si="72"/>
        <v>1</v>
      </c>
      <c r="J425" s="667"/>
      <c r="K425" s="21">
        <f t="shared" si="73"/>
        <v>1</v>
      </c>
      <c r="L425" s="667"/>
      <c r="M425" s="21">
        <f t="shared" si="74"/>
        <v>1</v>
      </c>
      <c r="N425" s="667"/>
      <c r="O425" s="21">
        <f t="shared" si="75"/>
        <v>1</v>
      </c>
      <c r="P425" s="667"/>
      <c r="Q425" s="21">
        <f t="shared" si="76"/>
        <v>1</v>
      </c>
      <c r="R425" s="663">
        <f t="shared" si="77"/>
        <v>0</v>
      </c>
      <c r="S425" s="316">
        <f t="shared" si="78"/>
        <v>0</v>
      </c>
    </row>
    <row r="426" spans="1:19">
      <c r="A426" s="150"/>
      <c r="B426" s="54"/>
      <c r="C426" s="21">
        <f t="shared" si="69"/>
        <v>1</v>
      </c>
      <c r="D426" s="667"/>
      <c r="E426" s="21">
        <f t="shared" si="70"/>
        <v>1</v>
      </c>
      <c r="F426" s="667"/>
      <c r="G426" s="21">
        <f t="shared" si="71"/>
        <v>1</v>
      </c>
      <c r="H426" s="667"/>
      <c r="I426" s="21">
        <f t="shared" si="72"/>
        <v>1</v>
      </c>
      <c r="J426" s="667"/>
      <c r="K426" s="21">
        <f t="shared" si="73"/>
        <v>1</v>
      </c>
      <c r="L426" s="667"/>
      <c r="M426" s="21">
        <f t="shared" si="74"/>
        <v>1</v>
      </c>
      <c r="N426" s="667"/>
      <c r="O426" s="21">
        <f t="shared" si="75"/>
        <v>1</v>
      </c>
      <c r="P426" s="667"/>
      <c r="Q426" s="21">
        <f t="shared" si="76"/>
        <v>1</v>
      </c>
      <c r="R426" s="663">
        <f t="shared" si="77"/>
        <v>0</v>
      </c>
      <c r="S426" s="316">
        <f t="shared" si="78"/>
        <v>0</v>
      </c>
    </row>
    <row r="427" spans="1:19">
      <c r="A427" s="150"/>
      <c r="B427" s="54"/>
      <c r="C427" s="21">
        <f t="shared" si="69"/>
        <v>1</v>
      </c>
      <c r="D427" s="667"/>
      <c r="E427" s="21">
        <f t="shared" si="70"/>
        <v>1</v>
      </c>
      <c r="F427" s="667"/>
      <c r="G427" s="21">
        <f t="shared" si="71"/>
        <v>1</v>
      </c>
      <c r="H427" s="667"/>
      <c r="I427" s="21">
        <f t="shared" si="72"/>
        <v>1</v>
      </c>
      <c r="J427" s="667"/>
      <c r="K427" s="21">
        <f t="shared" si="73"/>
        <v>1</v>
      </c>
      <c r="L427" s="667"/>
      <c r="M427" s="21">
        <f t="shared" si="74"/>
        <v>1</v>
      </c>
      <c r="N427" s="667"/>
      <c r="O427" s="21">
        <f t="shared" si="75"/>
        <v>1</v>
      </c>
      <c r="P427" s="667"/>
      <c r="Q427" s="21">
        <f t="shared" si="76"/>
        <v>1</v>
      </c>
      <c r="R427" s="663">
        <f t="shared" si="77"/>
        <v>0</v>
      </c>
      <c r="S427" s="316">
        <f t="shared" si="78"/>
        <v>0</v>
      </c>
    </row>
    <row r="428" spans="1:19">
      <c r="A428" s="150"/>
      <c r="B428" s="54"/>
      <c r="C428" s="21">
        <f t="shared" si="69"/>
        <v>1</v>
      </c>
      <c r="D428" s="667"/>
      <c r="E428" s="21">
        <f t="shared" si="70"/>
        <v>1</v>
      </c>
      <c r="F428" s="667"/>
      <c r="G428" s="21">
        <f t="shared" si="71"/>
        <v>1</v>
      </c>
      <c r="H428" s="667"/>
      <c r="I428" s="21">
        <f t="shared" si="72"/>
        <v>1</v>
      </c>
      <c r="J428" s="667"/>
      <c r="K428" s="21">
        <f t="shared" si="73"/>
        <v>1</v>
      </c>
      <c r="L428" s="667"/>
      <c r="M428" s="21">
        <f t="shared" si="74"/>
        <v>1</v>
      </c>
      <c r="N428" s="667"/>
      <c r="O428" s="21">
        <f t="shared" si="75"/>
        <v>1</v>
      </c>
      <c r="P428" s="667"/>
      <c r="Q428" s="21">
        <f t="shared" si="76"/>
        <v>1</v>
      </c>
      <c r="R428" s="663">
        <f t="shared" si="77"/>
        <v>0</v>
      </c>
      <c r="S428" s="316">
        <f t="shared" si="78"/>
        <v>0</v>
      </c>
    </row>
    <row r="429" spans="1:19">
      <c r="A429" s="150"/>
      <c r="B429" s="54"/>
      <c r="C429" s="21">
        <f t="shared" si="69"/>
        <v>1</v>
      </c>
      <c r="D429" s="667"/>
      <c r="E429" s="21">
        <f t="shared" si="70"/>
        <v>1</v>
      </c>
      <c r="F429" s="667"/>
      <c r="G429" s="21">
        <f t="shared" si="71"/>
        <v>1</v>
      </c>
      <c r="H429" s="667"/>
      <c r="I429" s="21">
        <f t="shared" si="72"/>
        <v>1</v>
      </c>
      <c r="J429" s="667"/>
      <c r="K429" s="21">
        <f t="shared" si="73"/>
        <v>1</v>
      </c>
      <c r="L429" s="667"/>
      <c r="M429" s="21">
        <f t="shared" si="74"/>
        <v>1</v>
      </c>
      <c r="N429" s="667"/>
      <c r="O429" s="21">
        <f t="shared" si="75"/>
        <v>1</v>
      </c>
      <c r="P429" s="667"/>
      <c r="Q429" s="21">
        <f t="shared" si="76"/>
        <v>1</v>
      </c>
      <c r="R429" s="663">
        <f t="shared" si="77"/>
        <v>0</v>
      </c>
      <c r="S429" s="316">
        <f t="shared" si="78"/>
        <v>0</v>
      </c>
    </row>
    <row r="430" spans="1:19">
      <c r="A430" s="150"/>
      <c r="B430" s="54"/>
      <c r="C430" s="21">
        <f t="shared" si="69"/>
        <v>1</v>
      </c>
      <c r="D430" s="667"/>
      <c r="E430" s="21">
        <f t="shared" si="70"/>
        <v>1</v>
      </c>
      <c r="F430" s="667"/>
      <c r="G430" s="21">
        <f t="shared" si="71"/>
        <v>1</v>
      </c>
      <c r="H430" s="667"/>
      <c r="I430" s="21">
        <f t="shared" si="72"/>
        <v>1</v>
      </c>
      <c r="J430" s="667"/>
      <c r="K430" s="21">
        <f t="shared" si="73"/>
        <v>1</v>
      </c>
      <c r="L430" s="667"/>
      <c r="M430" s="21">
        <f t="shared" si="74"/>
        <v>1</v>
      </c>
      <c r="N430" s="667"/>
      <c r="O430" s="21">
        <f t="shared" si="75"/>
        <v>1</v>
      </c>
      <c r="P430" s="667"/>
      <c r="Q430" s="21">
        <f t="shared" si="76"/>
        <v>1</v>
      </c>
      <c r="R430" s="663">
        <f t="shared" si="77"/>
        <v>0</v>
      </c>
      <c r="S430" s="316">
        <f t="shared" si="78"/>
        <v>0</v>
      </c>
    </row>
    <row r="431" spans="1:19">
      <c r="A431" s="150"/>
      <c r="B431" s="54"/>
      <c r="C431" s="21">
        <f t="shared" si="69"/>
        <v>1</v>
      </c>
      <c r="D431" s="667"/>
      <c r="E431" s="21">
        <f t="shared" si="70"/>
        <v>1</v>
      </c>
      <c r="F431" s="667"/>
      <c r="G431" s="21">
        <f t="shared" si="71"/>
        <v>1</v>
      </c>
      <c r="H431" s="667"/>
      <c r="I431" s="21">
        <f t="shared" si="72"/>
        <v>1</v>
      </c>
      <c r="J431" s="667"/>
      <c r="K431" s="21">
        <f t="shared" si="73"/>
        <v>1</v>
      </c>
      <c r="L431" s="667"/>
      <c r="M431" s="21">
        <f t="shared" si="74"/>
        <v>1</v>
      </c>
      <c r="N431" s="667"/>
      <c r="O431" s="21">
        <f t="shared" si="75"/>
        <v>1</v>
      </c>
      <c r="P431" s="667"/>
      <c r="Q431" s="21">
        <f t="shared" si="76"/>
        <v>1</v>
      </c>
      <c r="R431" s="663">
        <f t="shared" si="77"/>
        <v>0</v>
      </c>
      <c r="S431" s="316">
        <f t="shared" si="78"/>
        <v>0</v>
      </c>
    </row>
    <row r="432" spans="1:19">
      <c r="A432" s="150"/>
      <c r="B432" s="54"/>
      <c r="C432" s="21">
        <f t="shared" si="69"/>
        <v>1</v>
      </c>
      <c r="D432" s="667"/>
      <c r="E432" s="21">
        <f t="shared" si="70"/>
        <v>1</v>
      </c>
      <c r="F432" s="667"/>
      <c r="G432" s="21">
        <f t="shared" si="71"/>
        <v>1</v>
      </c>
      <c r="H432" s="667"/>
      <c r="I432" s="21">
        <f t="shared" si="72"/>
        <v>1</v>
      </c>
      <c r="J432" s="667"/>
      <c r="K432" s="21">
        <f t="shared" si="73"/>
        <v>1</v>
      </c>
      <c r="L432" s="667"/>
      <c r="M432" s="21">
        <f t="shared" si="74"/>
        <v>1</v>
      </c>
      <c r="N432" s="667"/>
      <c r="O432" s="21">
        <f t="shared" si="75"/>
        <v>1</v>
      </c>
      <c r="P432" s="667"/>
      <c r="Q432" s="21">
        <f t="shared" si="76"/>
        <v>1</v>
      </c>
      <c r="R432" s="663">
        <f t="shared" si="77"/>
        <v>0</v>
      </c>
      <c r="S432" s="316">
        <f t="shared" si="78"/>
        <v>0</v>
      </c>
    </row>
    <row r="433" spans="1:19">
      <c r="A433" s="150"/>
      <c r="B433" s="54"/>
      <c r="C433" s="21">
        <f t="shared" si="69"/>
        <v>1</v>
      </c>
      <c r="D433" s="667"/>
      <c r="E433" s="21">
        <f t="shared" si="70"/>
        <v>1</v>
      </c>
      <c r="F433" s="667"/>
      <c r="G433" s="21">
        <f t="shared" si="71"/>
        <v>1</v>
      </c>
      <c r="H433" s="667"/>
      <c r="I433" s="21">
        <f t="shared" si="72"/>
        <v>1</v>
      </c>
      <c r="J433" s="667"/>
      <c r="K433" s="21">
        <f t="shared" si="73"/>
        <v>1</v>
      </c>
      <c r="L433" s="667"/>
      <c r="M433" s="21">
        <f t="shared" si="74"/>
        <v>1</v>
      </c>
      <c r="N433" s="667"/>
      <c r="O433" s="21">
        <f t="shared" si="75"/>
        <v>1</v>
      </c>
      <c r="P433" s="667"/>
      <c r="Q433" s="21">
        <f t="shared" si="76"/>
        <v>1</v>
      </c>
      <c r="R433" s="663">
        <f t="shared" si="77"/>
        <v>0</v>
      </c>
      <c r="S433" s="316">
        <f t="shared" si="78"/>
        <v>0</v>
      </c>
    </row>
    <row r="434" spans="1:19">
      <c r="A434" s="150"/>
      <c r="B434" s="54"/>
      <c r="C434" s="21">
        <f t="shared" si="69"/>
        <v>1</v>
      </c>
      <c r="D434" s="667"/>
      <c r="E434" s="21">
        <f t="shared" si="70"/>
        <v>1</v>
      </c>
      <c r="F434" s="667"/>
      <c r="G434" s="21">
        <f t="shared" si="71"/>
        <v>1</v>
      </c>
      <c r="H434" s="667"/>
      <c r="I434" s="21">
        <f t="shared" si="72"/>
        <v>1</v>
      </c>
      <c r="J434" s="667"/>
      <c r="K434" s="21">
        <f t="shared" si="73"/>
        <v>1</v>
      </c>
      <c r="L434" s="667"/>
      <c r="M434" s="21">
        <f t="shared" si="74"/>
        <v>1</v>
      </c>
      <c r="N434" s="667"/>
      <c r="O434" s="21">
        <f t="shared" si="75"/>
        <v>1</v>
      </c>
      <c r="P434" s="667"/>
      <c r="Q434" s="21">
        <f t="shared" si="76"/>
        <v>1</v>
      </c>
      <c r="R434" s="663">
        <f t="shared" si="77"/>
        <v>0</v>
      </c>
      <c r="S434" s="316">
        <f t="shared" si="78"/>
        <v>0</v>
      </c>
    </row>
    <row r="435" spans="1:19">
      <c r="A435" s="150"/>
      <c r="B435" s="54"/>
      <c r="C435" s="21">
        <f t="shared" si="69"/>
        <v>1</v>
      </c>
      <c r="D435" s="667"/>
      <c r="E435" s="21">
        <f t="shared" si="70"/>
        <v>1</v>
      </c>
      <c r="F435" s="667"/>
      <c r="G435" s="21">
        <f t="shared" si="71"/>
        <v>1</v>
      </c>
      <c r="H435" s="667"/>
      <c r="I435" s="21">
        <f t="shared" si="72"/>
        <v>1</v>
      </c>
      <c r="J435" s="667"/>
      <c r="K435" s="21">
        <f t="shared" si="73"/>
        <v>1</v>
      </c>
      <c r="L435" s="667"/>
      <c r="M435" s="21">
        <f t="shared" si="74"/>
        <v>1</v>
      </c>
      <c r="N435" s="667"/>
      <c r="O435" s="21">
        <f t="shared" si="75"/>
        <v>1</v>
      </c>
      <c r="P435" s="667"/>
      <c r="Q435" s="21">
        <f t="shared" si="76"/>
        <v>1</v>
      </c>
      <c r="R435" s="663">
        <f t="shared" si="77"/>
        <v>0</v>
      </c>
      <c r="S435" s="316">
        <f t="shared" si="78"/>
        <v>0</v>
      </c>
    </row>
    <row r="436" spans="1:19">
      <c r="A436" s="150"/>
      <c r="B436" s="54"/>
      <c r="C436" s="21">
        <f t="shared" si="69"/>
        <v>1</v>
      </c>
      <c r="D436" s="667"/>
      <c r="E436" s="21">
        <f t="shared" si="70"/>
        <v>1</v>
      </c>
      <c r="F436" s="667"/>
      <c r="G436" s="21">
        <f t="shared" si="71"/>
        <v>1</v>
      </c>
      <c r="H436" s="667"/>
      <c r="I436" s="21">
        <f t="shared" si="72"/>
        <v>1</v>
      </c>
      <c r="J436" s="667"/>
      <c r="K436" s="21">
        <f t="shared" si="73"/>
        <v>1</v>
      </c>
      <c r="L436" s="667"/>
      <c r="M436" s="21">
        <f t="shared" si="74"/>
        <v>1</v>
      </c>
      <c r="N436" s="667"/>
      <c r="O436" s="21">
        <f t="shared" si="75"/>
        <v>1</v>
      </c>
      <c r="P436" s="667"/>
      <c r="Q436" s="21">
        <f t="shared" si="76"/>
        <v>1</v>
      </c>
      <c r="R436" s="663">
        <f t="shared" si="77"/>
        <v>0</v>
      </c>
      <c r="S436" s="316">
        <f t="shared" si="78"/>
        <v>0</v>
      </c>
    </row>
    <row r="437" spans="1:19">
      <c r="A437" s="150"/>
      <c r="B437" s="54"/>
      <c r="C437" s="21">
        <f t="shared" si="69"/>
        <v>1</v>
      </c>
      <c r="D437" s="667"/>
      <c r="E437" s="21">
        <f t="shared" si="70"/>
        <v>1</v>
      </c>
      <c r="F437" s="667"/>
      <c r="G437" s="21">
        <f t="shared" si="71"/>
        <v>1</v>
      </c>
      <c r="H437" s="667"/>
      <c r="I437" s="21">
        <f t="shared" si="72"/>
        <v>1</v>
      </c>
      <c r="J437" s="667"/>
      <c r="K437" s="21">
        <f t="shared" si="73"/>
        <v>1</v>
      </c>
      <c r="L437" s="667"/>
      <c r="M437" s="21">
        <f t="shared" si="74"/>
        <v>1</v>
      </c>
      <c r="N437" s="667"/>
      <c r="O437" s="21">
        <f t="shared" si="75"/>
        <v>1</v>
      </c>
      <c r="P437" s="667"/>
      <c r="Q437" s="21">
        <f t="shared" si="76"/>
        <v>1</v>
      </c>
      <c r="R437" s="663">
        <f t="shared" si="77"/>
        <v>0</v>
      </c>
      <c r="S437" s="316">
        <f t="shared" si="78"/>
        <v>0</v>
      </c>
    </row>
    <row r="438" spans="1:19">
      <c r="A438" s="150"/>
      <c r="B438" s="54"/>
      <c r="C438" s="21">
        <f t="shared" si="69"/>
        <v>1</v>
      </c>
      <c r="D438" s="667"/>
      <c r="E438" s="21">
        <f t="shared" si="70"/>
        <v>1</v>
      </c>
      <c r="F438" s="667"/>
      <c r="G438" s="21">
        <f t="shared" si="71"/>
        <v>1</v>
      </c>
      <c r="H438" s="667"/>
      <c r="I438" s="21">
        <f t="shared" si="72"/>
        <v>1</v>
      </c>
      <c r="J438" s="667"/>
      <c r="K438" s="21">
        <f t="shared" si="73"/>
        <v>1</v>
      </c>
      <c r="L438" s="667"/>
      <c r="M438" s="21">
        <f t="shared" si="74"/>
        <v>1</v>
      </c>
      <c r="N438" s="667"/>
      <c r="O438" s="21">
        <f t="shared" si="75"/>
        <v>1</v>
      </c>
      <c r="P438" s="667"/>
      <c r="Q438" s="21">
        <f t="shared" si="76"/>
        <v>1</v>
      </c>
      <c r="R438" s="663">
        <f t="shared" si="77"/>
        <v>0</v>
      </c>
      <c r="S438" s="316">
        <f t="shared" si="78"/>
        <v>0</v>
      </c>
    </row>
    <row r="439" spans="1:19">
      <c r="A439" s="150"/>
      <c r="B439" s="54"/>
      <c r="C439" s="21">
        <f t="shared" si="69"/>
        <v>1</v>
      </c>
      <c r="D439" s="667"/>
      <c r="E439" s="21">
        <f t="shared" si="70"/>
        <v>1</v>
      </c>
      <c r="F439" s="667"/>
      <c r="G439" s="21">
        <f t="shared" si="71"/>
        <v>1</v>
      </c>
      <c r="H439" s="667"/>
      <c r="I439" s="21">
        <f t="shared" si="72"/>
        <v>1</v>
      </c>
      <c r="J439" s="667"/>
      <c r="K439" s="21">
        <f t="shared" si="73"/>
        <v>1</v>
      </c>
      <c r="L439" s="667"/>
      <c r="M439" s="21">
        <f t="shared" si="74"/>
        <v>1</v>
      </c>
      <c r="N439" s="667"/>
      <c r="O439" s="21">
        <f t="shared" si="75"/>
        <v>1</v>
      </c>
      <c r="P439" s="667"/>
      <c r="Q439" s="21">
        <f t="shared" si="76"/>
        <v>1</v>
      </c>
      <c r="R439" s="663">
        <f t="shared" si="77"/>
        <v>0</v>
      </c>
      <c r="S439" s="316">
        <f t="shared" si="78"/>
        <v>0</v>
      </c>
    </row>
    <row r="440" spans="1:19">
      <c r="A440" s="150"/>
      <c r="B440" s="54"/>
      <c r="C440" s="21">
        <f t="shared" si="69"/>
        <v>1</v>
      </c>
      <c r="D440" s="667"/>
      <c r="E440" s="21">
        <f t="shared" si="70"/>
        <v>1</v>
      </c>
      <c r="F440" s="667"/>
      <c r="G440" s="21">
        <f t="shared" si="71"/>
        <v>1</v>
      </c>
      <c r="H440" s="667"/>
      <c r="I440" s="21">
        <f t="shared" si="72"/>
        <v>1</v>
      </c>
      <c r="J440" s="667"/>
      <c r="K440" s="21">
        <f t="shared" si="73"/>
        <v>1</v>
      </c>
      <c r="L440" s="667"/>
      <c r="M440" s="21">
        <f t="shared" si="74"/>
        <v>1</v>
      </c>
      <c r="N440" s="667"/>
      <c r="O440" s="21">
        <f t="shared" si="75"/>
        <v>1</v>
      </c>
      <c r="P440" s="667"/>
      <c r="Q440" s="21">
        <f t="shared" si="76"/>
        <v>1</v>
      </c>
      <c r="R440" s="663">
        <f t="shared" si="77"/>
        <v>0</v>
      </c>
      <c r="S440" s="316">
        <f t="shared" si="78"/>
        <v>0</v>
      </c>
    </row>
    <row r="441" spans="1:19">
      <c r="A441" s="150"/>
      <c r="B441" s="54"/>
      <c r="C441" s="21">
        <f t="shared" si="69"/>
        <v>1</v>
      </c>
      <c r="D441" s="667"/>
      <c r="E441" s="21">
        <f t="shared" si="70"/>
        <v>1</v>
      </c>
      <c r="F441" s="667"/>
      <c r="G441" s="21">
        <f t="shared" si="71"/>
        <v>1</v>
      </c>
      <c r="H441" s="667"/>
      <c r="I441" s="21">
        <f t="shared" si="72"/>
        <v>1</v>
      </c>
      <c r="J441" s="667"/>
      <c r="K441" s="21">
        <f t="shared" si="73"/>
        <v>1</v>
      </c>
      <c r="L441" s="667"/>
      <c r="M441" s="21">
        <f t="shared" si="74"/>
        <v>1</v>
      </c>
      <c r="N441" s="667"/>
      <c r="O441" s="21">
        <f t="shared" si="75"/>
        <v>1</v>
      </c>
      <c r="P441" s="667"/>
      <c r="Q441" s="21">
        <f t="shared" si="76"/>
        <v>1</v>
      </c>
      <c r="R441" s="663">
        <f t="shared" si="77"/>
        <v>0</v>
      </c>
      <c r="S441" s="316">
        <f t="shared" si="78"/>
        <v>0</v>
      </c>
    </row>
    <row r="442" spans="1:19">
      <c r="A442" s="150"/>
      <c r="B442" s="54"/>
      <c r="C442" s="21">
        <f t="shared" si="69"/>
        <v>1</v>
      </c>
      <c r="D442" s="667"/>
      <c r="E442" s="21">
        <f t="shared" si="70"/>
        <v>1</v>
      </c>
      <c r="F442" s="667"/>
      <c r="G442" s="21">
        <f t="shared" si="71"/>
        <v>1</v>
      </c>
      <c r="H442" s="667"/>
      <c r="I442" s="21">
        <f t="shared" si="72"/>
        <v>1</v>
      </c>
      <c r="J442" s="667"/>
      <c r="K442" s="21">
        <f t="shared" si="73"/>
        <v>1</v>
      </c>
      <c r="L442" s="667"/>
      <c r="M442" s="21">
        <f t="shared" si="74"/>
        <v>1</v>
      </c>
      <c r="N442" s="667"/>
      <c r="O442" s="21">
        <f t="shared" si="75"/>
        <v>1</v>
      </c>
      <c r="P442" s="667"/>
      <c r="Q442" s="21">
        <f t="shared" si="76"/>
        <v>1</v>
      </c>
      <c r="R442" s="663">
        <f t="shared" si="77"/>
        <v>0</v>
      </c>
      <c r="S442" s="316">
        <f t="shared" si="78"/>
        <v>0</v>
      </c>
    </row>
    <row r="443" spans="1:19">
      <c r="A443" s="150"/>
      <c r="B443" s="54"/>
      <c r="C443" s="21">
        <f t="shared" si="69"/>
        <v>1</v>
      </c>
      <c r="D443" s="667"/>
      <c r="E443" s="21">
        <f t="shared" si="70"/>
        <v>1</v>
      </c>
      <c r="F443" s="667"/>
      <c r="G443" s="21">
        <f t="shared" si="71"/>
        <v>1</v>
      </c>
      <c r="H443" s="667"/>
      <c r="I443" s="21">
        <f t="shared" si="72"/>
        <v>1</v>
      </c>
      <c r="J443" s="667"/>
      <c r="K443" s="21">
        <f t="shared" si="73"/>
        <v>1</v>
      </c>
      <c r="L443" s="667"/>
      <c r="M443" s="21">
        <f t="shared" si="74"/>
        <v>1</v>
      </c>
      <c r="N443" s="667"/>
      <c r="O443" s="21">
        <f t="shared" si="75"/>
        <v>1</v>
      </c>
      <c r="P443" s="667"/>
      <c r="Q443" s="21">
        <f t="shared" si="76"/>
        <v>1</v>
      </c>
      <c r="R443" s="663">
        <f t="shared" si="77"/>
        <v>0</v>
      </c>
      <c r="S443" s="316">
        <f t="shared" si="78"/>
        <v>0</v>
      </c>
    </row>
    <row r="444" spans="1:19">
      <c r="A444" s="150"/>
      <c r="B444" s="54"/>
      <c r="C444" s="21">
        <f t="shared" si="69"/>
        <v>1</v>
      </c>
      <c r="D444" s="667"/>
      <c r="E444" s="21">
        <f t="shared" si="70"/>
        <v>1</v>
      </c>
      <c r="F444" s="667"/>
      <c r="G444" s="21">
        <f t="shared" si="71"/>
        <v>1</v>
      </c>
      <c r="H444" s="667"/>
      <c r="I444" s="21">
        <f t="shared" si="72"/>
        <v>1</v>
      </c>
      <c r="J444" s="667"/>
      <c r="K444" s="21">
        <f t="shared" si="73"/>
        <v>1</v>
      </c>
      <c r="L444" s="667"/>
      <c r="M444" s="21">
        <f t="shared" si="74"/>
        <v>1</v>
      </c>
      <c r="N444" s="667"/>
      <c r="O444" s="21">
        <f t="shared" si="75"/>
        <v>1</v>
      </c>
      <c r="P444" s="667"/>
      <c r="Q444" s="21">
        <f t="shared" si="76"/>
        <v>1</v>
      </c>
      <c r="R444" s="663">
        <f t="shared" si="77"/>
        <v>0</v>
      </c>
      <c r="S444" s="316">
        <f t="shared" si="78"/>
        <v>0</v>
      </c>
    </row>
    <row r="445" spans="1:19">
      <c r="A445" s="150"/>
      <c r="B445" s="54"/>
      <c r="C445" s="21">
        <f t="shared" si="69"/>
        <v>1</v>
      </c>
      <c r="D445" s="667"/>
      <c r="E445" s="21">
        <f t="shared" si="70"/>
        <v>1</v>
      </c>
      <c r="F445" s="667"/>
      <c r="G445" s="21">
        <f t="shared" si="71"/>
        <v>1</v>
      </c>
      <c r="H445" s="667"/>
      <c r="I445" s="21">
        <f t="shared" si="72"/>
        <v>1</v>
      </c>
      <c r="J445" s="667"/>
      <c r="K445" s="21">
        <f t="shared" si="73"/>
        <v>1</v>
      </c>
      <c r="L445" s="667"/>
      <c r="M445" s="21">
        <f t="shared" si="74"/>
        <v>1</v>
      </c>
      <c r="N445" s="667"/>
      <c r="O445" s="21">
        <f t="shared" si="75"/>
        <v>1</v>
      </c>
      <c r="P445" s="667"/>
      <c r="Q445" s="21">
        <f t="shared" si="76"/>
        <v>1</v>
      </c>
      <c r="R445" s="663">
        <f t="shared" si="77"/>
        <v>0</v>
      </c>
      <c r="S445" s="316">
        <f t="shared" si="78"/>
        <v>0</v>
      </c>
    </row>
    <row r="446" spans="1:19">
      <c r="A446" s="150"/>
      <c r="B446" s="54"/>
      <c r="C446" s="21">
        <f t="shared" si="69"/>
        <v>1</v>
      </c>
      <c r="D446" s="667"/>
      <c r="E446" s="21">
        <f t="shared" si="70"/>
        <v>1</v>
      </c>
      <c r="F446" s="667"/>
      <c r="G446" s="21">
        <f t="shared" si="71"/>
        <v>1</v>
      </c>
      <c r="H446" s="667"/>
      <c r="I446" s="21">
        <f t="shared" si="72"/>
        <v>1</v>
      </c>
      <c r="J446" s="667"/>
      <c r="K446" s="21">
        <f t="shared" si="73"/>
        <v>1</v>
      </c>
      <c r="L446" s="667"/>
      <c r="M446" s="21">
        <f t="shared" si="74"/>
        <v>1</v>
      </c>
      <c r="N446" s="667"/>
      <c r="O446" s="21">
        <f t="shared" si="75"/>
        <v>1</v>
      </c>
      <c r="P446" s="667"/>
      <c r="Q446" s="21">
        <f t="shared" si="76"/>
        <v>1</v>
      </c>
      <c r="R446" s="663">
        <f t="shared" si="77"/>
        <v>0</v>
      </c>
      <c r="S446" s="316">
        <f t="shared" si="78"/>
        <v>0</v>
      </c>
    </row>
    <row r="447" spans="1:19">
      <c r="A447" s="150"/>
      <c r="B447" s="54"/>
      <c r="C447" s="21">
        <f t="shared" si="69"/>
        <v>1</v>
      </c>
      <c r="D447" s="667"/>
      <c r="E447" s="21">
        <f t="shared" si="70"/>
        <v>1</v>
      </c>
      <c r="F447" s="667"/>
      <c r="G447" s="21">
        <f t="shared" si="71"/>
        <v>1</v>
      </c>
      <c r="H447" s="667"/>
      <c r="I447" s="21">
        <f t="shared" si="72"/>
        <v>1</v>
      </c>
      <c r="J447" s="667"/>
      <c r="K447" s="21">
        <f t="shared" si="73"/>
        <v>1</v>
      </c>
      <c r="L447" s="667"/>
      <c r="M447" s="21">
        <f t="shared" si="74"/>
        <v>1</v>
      </c>
      <c r="N447" s="667"/>
      <c r="O447" s="21">
        <f t="shared" si="75"/>
        <v>1</v>
      </c>
      <c r="P447" s="667"/>
      <c r="Q447" s="21">
        <f t="shared" si="76"/>
        <v>1</v>
      </c>
      <c r="R447" s="663">
        <f t="shared" si="77"/>
        <v>0</v>
      </c>
      <c r="S447" s="316">
        <f t="shared" si="78"/>
        <v>0</v>
      </c>
    </row>
    <row r="448" spans="1:19">
      <c r="A448" s="150"/>
      <c r="B448" s="54"/>
      <c r="C448" s="21">
        <f t="shared" si="69"/>
        <v>1</v>
      </c>
      <c r="D448" s="667"/>
      <c r="E448" s="21">
        <f t="shared" si="70"/>
        <v>1</v>
      </c>
      <c r="F448" s="667"/>
      <c r="G448" s="21">
        <f t="shared" si="71"/>
        <v>1</v>
      </c>
      <c r="H448" s="667"/>
      <c r="I448" s="21">
        <f t="shared" si="72"/>
        <v>1</v>
      </c>
      <c r="J448" s="667"/>
      <c r="K448" s="21">
        <f t="shared" si="73"/>
        <v>1</v>
      </c>
      <c r="L448" s="667"/>
      <c r="M448" s="21">
        <f t="shared" si="74"/>
        <v>1</v>
      </c>
      <c r="N448" s="667"/>
      <c r="O448" s="21">
        <f t="shared" si="75"/>
        <v>1</v>
      </c>
      <c r="P448" s="667"/>
      <c r="Q448" s="21">
        <f t="shared" si="76"/>
        <v>1</v>
      </c>
      <c r="R448" s="663">
        <f t="shared" si="77"/>
        <v>0</v>
      </c>
      <c r="S448" s="316">
        <f t="shared" si="78"/>
        <v>0</v>
      </c>
    </row>
    <row r="449" spans="1:19">
      <c r="A449" s="150"/>
      <c r="B449" s="54"/>
      <c r="C449" s="21">
        <f t="shared" si="69"/>
        <v>1</v>
      </c>
      <c r="D449" s="667"/>
      <c r="E449" s="21">
        <f t="shared" si="70"/>
        <v>1</v>
      </c>
      <c r="F449" s="667"/>
      <c r="G449" s="21">
        <f t="shared" si="71"/>
        <v>1</v>
      </c>
      <c r="H449" s="667"/>
      <c r="I449" s="21">
        <f t="shared" si="72"/>
        <v>1</v>
      </c>
      <c r="J449" s="667"/>
      <c r="K449" s="21">
        <f t="shared" si="73"/>
        <v>1</v>
      </c>
      <c r="L449" s="667"/>
      <c r="M449" s="21">
        <f t="shared" si="74"/>
        <v>1</v>
      </c>
      <c r="N449" s="667"/>
      <c r="O449" s="21">
        <f t="shared" si="75"/>
        <v>1</v>
      </c>
      <c r="P449" s="667"/>
      <c r="Q449" s="21">
        <f t="shared" si="76"/>
        <v>1</v>
      </c>
      <c r="R449" s="663">
        <f t="shared" si="77"/>
        <v>0</v>
      </c>
      <c r="S449" s="316">
        <f t="shared" si="78"/>
        <v>0</v>
      </c>
    </row>
    <row r="450" spans="1:19">
      <c r="A450" s="150"/>
      <c r="B450" s="54"/>
      <c r="C450" s="21">
        <f t="shared" si="69"/>
        <v>1</v>
      </c>
      <c r="D450" s="667"/>
      <c r="E450" s="21">
        <f t="shared" si="70"/>
        <v>1</v>
      </c>
      <c r="F450" s="667"/>
      <c r="G450" s="21">
        <f t="shared" si="71"/>
        <v>1</v>
      </c>
      <c r="H450" s="667"/>
      <c r="I450" s="21">
        <f t="shared" si="72"/>
        <v>1</v>
      </c>
      <c r="J450" s="667"/>
      <c r="K450" s="21">
        <f t="shared" si="73"/>
        <v>1</v>
      </c>
      <c r="L450" s="667"/>
      <c r="M450" s="21">
        <f t="shared" si="74"/>
        <v>1</v>
      </c>
      <c r="N450" s="667"/>
      <c r="O450" s="21">
        <f t="shared" si="75"/>
        <v>1</v>
      </c>
      <c r="P450" s="667"/>
      <c r="Q450" s="21">
        <f t="shared" si="76"/>
        <v>1</v>
      </c>
      <c r="R450" s="663">
        <f t="shared" si="77"/>
        <v>0</v>
      </c>
      <c r="S450" s="316">
        <f t="shared" si="78"/>
        <v>0</v>
      </c>
    </row>
    <row r="451" spans="1:19">
      <c r="A451" s="150"/>
      <c r="B451" s="54"/>
      <c r="C451" s="21">
        <f t="shared" si="69"/>
        <v>1</v>
      </c>
      <c r="D451" s="667"/>
      <c r="E451" s="21">
        <f t="shared" si="70"/>
        <v>1</v>
      </c>
      <c r="F451" s="667"/>
      <c r="G451" s="21">
        <f t="shared" si="71"/>
        <v>1</v>
      </c>
      <c r="H451" s="667"/>
      <c r="I451" s="21">
        <f t="shared" si="72"/>
        <v>1</v>
      </c>
      <c r="J451" s="667"/>
      <c r="K451" s="21">
        <f t="shared" si="73"/>
        <v>1</v>
      </c>
      <c r="L451" s="667"/>
      <c r="M451" s="21">
        <f t="shared" si="74"/>
        <v>1</v>
      </c>
      <c r="N451" s="667"/>
      <c r="O451" s="21">
        <f t="shared" si="75"/>
        <v>1</v>
      </c>
      <c r="P451" s="667"/>
      <c r="Q451" s="21">
        <f t="shared" si="76"/>
        <v>1</v>
      </c>
      <c r="R451" s="663">
        <f t="shared" si="77"/>
        <v>0</v>
      </c>
      <c r="S451" s="316">
        <f t="shared" si="78"/>
        <v>0</v>
      </c>
    </row>
    <row r="452" spans="1:19">
      <c r="A452" s="150"/>
      <c r="B452" s="54"/>
      <c r="C452" s="21">
        <f t="shared" si="69"/>
        <v>1</v>
      </c>
      <c r="D452" s="667"/>
      <c r="E452" s="21">
        <f t="shared" si="70"/>
        <v>1</v>
      </c>
      <c r="F452" s="667"/>
      <c r="G452" s="21">
        <f t="shared" si="71"/>
        <v>1</v>
      </c>
      <c r="H452" s="667"/>
      <c r="I452" s="21">
        <f t="shared" si="72"/>
        <v>1</v>
      </c>
      <c r="J452" s="667"/>
      <c r="K452" s="21">
        <f t="shared" si="73"/>
        <v>1</v>
      </c>
      <c r="L452" s="667"/>
      <c r="M452" s="21">
        <f t="shared" si="74"/>
        <v>1</v>
      </c>
      <c r="N452" s="667"/>
      <c r="O452" s="21">
        <f t="shared" si="75"/>
        <v>1</v>
      </c>
      <c r="P452" s="667"/>
      <c r="Q452" s="21">
        <f t="shared" si="76"/>
        <v>1</v>
      </c>
      <c r="R452" s="663">
        <f t="shared" si="77"/>
        <v>0</v>
      </c>
      <c r="S452" s="316">
        <f t="shared" si="78"/>
        <v>0</v>
      </c>
    </row>
    <row r="453" spans="1:19">
      <c r="A453" s="150"/>
      <c r="B453" s="54"/>
      <c r="C453" s="21">
        <f t="shared" si="69"/>
        <v>1</v>
      </c>
      <c r="D453" s="667"/>
      <c r="E453" s="21">
        <f t="shared" si="70"/>
        <v>1</v>
      </c>
      <c r="F453" s="667"/>
      <c r="G453" s="21">
        <f t="shared" si="71"/>
        <v>1</v>
      </c>
      <c r="H453" s="667"/>
      <c r="I453" s="21">
        <f t="shared" si="72"/>
        <v>1</v>
      </c>
      <c r="J453" s="667"/>
      <c r="K453" s="21">
        <f t="shared" si="73"/>
        <v>1</v>
      </c>
      <c r="L453" s="667"/>
      <c r="M453" s="21">
        <f t="shared" si="74"/>
        <v>1</v>
      </c>
      <c r="N453" s="667"/>
      <c r="O453" s="21">
        <f t="shared" si="75"/>
        <v>1</v>
      </c>
      <c r="P453" s="667"/>
      <c r="Q453" s="21">
        <f t="shared" si="76"/>
        <v>1</v>
      </c>
      <c r="R453" s="663">
        <f t="shared" si="77"/>
        <v>0</v>
      </c>
      <c r="S453" s="316">
        <f t="shared" si="78"/>
        <v>0</v>
      </c>
    </row>
    <row r="454" spans="1:19">
      <c r="A454" s="150"/>
      <c r="B454" s="54"/>
      <c r="C454" s="21">
        <f t="shared" si="69"/>
        <v>1</v>
      </c>
      <c r="D454" s="667"/>
      <c r="E454" s="21">
        <f t="shared" si="70"/>
        <v>1</v>
      </c>
      <c r="F454" s="667"/>
      <c r="G454" s="21">
        <f t="shared" si="71"/>
        <v>1</v>
      </c>
      <c r="H454" s="667"/>
      <c r="I454" s="21">
        <f t="shared" si="72"/>
        <v>1</v>
      </c>
      <c r="J454" s="667"/>
      <c r="K454" s="21">
        <f t="shared" si="73"/>
        <v>1</v>
      </c>
      <c r="L454" s="667"/>
      <c r="M454" s="21">
        <f t="shared" si="74"/>
        <v>1</v>
      </c>
      <c r="N454" s="667"/>
      <c r="O454" s="21">
        <f t="shared" si="75"/>
        <v>1</v>
      </c>
      <c r="P454" s="667"/>
      <c r="Q454" s="21">
        <f t="shared" si="76"/>
        <v>1</v>
      </c>
      <c r="R454" s="663">
        <f t="shared" si="77"/>
        <v>0</v>
      </c>
      <c r="S454" s="316">
        <f t="shared" si="78"/>
        <v>0</v>
      </c>
    </row>
    <row r="455" spans="1:19">
      <c r="A455" s="150"/>
      <c r="B455" s="54"/>
      <c r="C455" s="21">
        <f t="shared" si="69"/>
        <v>1</v>
      </c>
      <c r="D455" s="667"/>
      <c r="E455" s="21">
        <f t="shared" si="70"/>
        <v>1</v>
      </c>
      <c r="F455" s="667"/>
      <c r="G455" s="21">
        <f t="shared" si="71"/>
        <v>1</v>
      </c>
      <c r="H455" s="667"/>
      <c r="I455" s="21">
        <f t="shared" si="72"/>
        <v>1</v>
      </c>
      <c r="J455" s="667"/>
      <c r="K455" s="21">
        <f t="shared" si="73"/>
        <v>1</v>
      </c>
      <c r="L455" s="667"/>
      <c r="M455" s="21">
        <f t="shared" si="74"/>
        <v>1</v>
      </c>
      <c r="N455" s="667"/>
      <c r="O455" s="21">
        <f t="shared" si="75"/>
        <v>1</v>
      </c>
      <c r="P455" s="667"/>
      <c r="Q455" s="21">
        <f t="shared" si="76"/>
        <v>1</v>
      </c>
      <c r="R455" s="663">
        <f t="shared" si="77"/>
        <v>0</v>
      </c>
      <c r="S455" s="316">
        <f t="shared" si="78"/>
        <v>0</v>
      </c>
    </row>
    <row r="456" spans="1:19">
      <c r="A456" s="150"/>
      <c r="B456" s="54"/>
      <c r="C456" s="21">
        <f t="shared" si="69"/>
        <v>1</v>
      </c>
      <c r="D456" s="667"/>
      <c r="E456" s="21">
        <f t="shared" si="70"/>
        <v>1</v>
      </c>
      <c r="F456" s="667"/>
      <c r="G456" s="21">
        <f t="shared" si="71"/>
        <v>1</v>
      </c>
      <c r="H456" s="667"/>
      <c r="I456" s="21">
        <f t="shared" si="72"/>
        <v>1</v>
      </c>
      <c r="J456" s="667"/>
      <c r="K456" s="21">
        <f t="shared" si="73"/>
        <v>1</v>
      </c>
      <c r="L456" s="667"/>
      <c r="M456" s="21">
        <f t="shared" si="74"/>
        <v>1</v>
      </c>
      <c r="N456" s="667"/>
      <c r="O456" s="21">
        <f t="shared" si="75"/>
        <v>1</v>
      </c>
      <c r="P456" s="667"/>
      <c r="Q456" s="21">
        <f t="shared" si="76"/>
        <v>1</v>
      </c>
      <c r="R456" s="663">
        <f t="shared" si="77"/>
        <v>0</v>
      </c>
      <c r="S456" s="316">
        <f t="shared" si="78"/>
        <v>0</v>
      </c>
    </row>
    <row r="457" spans="1:19">
      <c r="A457" s="150"/>
      <c r="B457" s="54"/>
      <c r="C457" s="21">
        <f t="shared" si="69"/>
        <v>1</v>
      </c>
      <c r="D457" s="667"/>
      <c r="E457" s="21">
        <f t="shared" si="70"/>
        <v>1</v>
      </c>
      <c r="F457" s="667"/>
      <c r="G457" s="21">
        <f t="shared" si="71"/>
        <v>1</v>
      </c>
      <c r="H457" s="667"/>
      <c r="I457" s="21">
        <f t="shared" si="72"/>
        <v>1</v>
      </c>
      <c r="J457" s="667"/>
      <c r="K457" s="21">
        <f t="shared" si="73"/>
        <v>1</v>
      </c>
      <c r="L457" s="667"/>
      <c r="M457" s="21">
        <f t="shared" si="74"/>
        <v>1</v>
      </c>
      <c r="N457" s="667"/>
      <c r="O457" s="21">
        <f t="shared" si="75"/>
        <v>1</v>
      </c>
      <c r="P457" s="667"/>
      <c r="Q457" s="21">
        <f t="shared" si="76"/>
        <v>1</v>
      </c>
      <c r="R457" s="663">
        <f t="shared" si="77"/>
        <v>0</v>
      </c>
      <c r="S457" s="316">
        <f t="shared" si="78"/>
        <v>0</v>
      </c>
    </row>
    <row r="458" spans="1:19">
      <c r="A458" s="150"/>
      <c r="B458" s="54"/>
      <c r="C458" s="21">
        <f t="shared" si="69"/>
        <v>1</v>
      </c>
      <c r="D458" s="667"/>
      <c r="E458" s="21">
        <f t="shared" si="70"/>
        <v>1</v>
      </c>
      <c r="F458" s="667"/>
      <c r="G458" s="21">
        <f t="shared" si="71"/>
        <v>1</v>
      </c>
      <c r="H458" s="667"/>
      <c r="I458" s="21">
        <f t="shared" si="72"/>
        <v>1</v>
      </c>
      <c r="J458" s="667"/>
      <c r="K458" s="21">
        <f t="shared" si="73"/>
        <v>1</v>
      </c>
      <c r="L458" s="667"/>
      <c r="M458" s="21">
        <f t="shared" si="74"/>
        <v>1</v>
      </c>
      <c r="N458" s="667"/>
      <c r="O458" s="21">
        <f t="shared" si="75"/>
        <v>1</v>
      </c>
      <c r="P458" s="667"/>
      <c r="Q458" s="21">
        <f t="shared" si="76"/>
        <v>1</v>
      </c>
      <c r="R458" s="663">
        <f t="shared" si="77"/>
        <v>0</v>
      </c>
      <c r="S458" s="316">
        <f t="shared" si="78"/>
        <v>0</v>
      </c>
    </row>
    <row r="459" spans="1:19">
      <c r="A459" s="150"/>
      <c r="B459" s="54"/>
      <c r="C459" s="21">
        <f t="shared" si="69"/>
        <v>1</v>
      </c>
      <c r="D459" s="667"/>
      <c r="E459" s="21">
        <f t="shared" si="70"/>
        <v>1</v>
      </c>
      <c r="F459" s="667"/>
      <c r="G459" s="21">
        <f t="shared" si="71"/>
        <v>1</v>
      </c>
      <c r="H459" s="667"/>
      <c r="I459" s="21">
        <f t="shared" si="72"/>
        <v>1</v>
      </c>
      <c r="J459" s="667"/>
      <c r="K459" s="21">
        <f t="shared" si="73"/>
        <v>1</v>
      </c>
      <c r="L459" s="667"/>
      <c r="M459" s="21">
        <f t="shared" si="74"/>
        <v>1</v>
      </c>
      <c r="N459" s="667"/>
      <c r="O459" s="21">
        <f t="shared" si="75"/>
        <v>1</v>
      </c>
      <c r="P459" s="667"/>
      <c r="Q459" s="21">
        <f t="shared" si="76"/>
        <v>1</v>
      </c>
      <c r="R459" s="663">
        <f t="shared" si="77"/>
        <v>0</v>
      </c>
      <c r="S459" s="316">
        <f t="shared" si="78"/>
        <v>0</v>
      </c>
    </row>
    <row r="460" spans="1:19">
      <c r="A460" s="150"/>
      <c r="B460" s="54"/>
      <c r="C460" s="21">
        <f t="shared" si="69"/>
        <v>1</v>
      </c>
      <c r="D460" s="667"/>
      <c r="E460" s="21">
        <f t="shared" si="70"/>
        <v>1</v>
      </c>
      <c r="F460" s="667"/>
      <c r="G460" s="21">
        <f t="shared" si="71"/>
        <v>1</v>
      </c>
      <c r="H460" s="667"/>
      <c r="I460" s="21">
        <f t="shared" si="72"/>
        <v>1</v>
      </c>
      <c r="J460" s="667"/>
      <c r="K460" s="21">
        <f t="shared" si="73"/>
        <v>1</v>
      </c>
      <c r="L460" s="667"/>
      <c r="M460" s="21">
        <f t="shared" si="74"/>
        <v>1</v>
      </c>
      <c r="N460" s="667"/>
      <c r="O460" s="21">
        <f t="shared" si="75"/>
        <v>1</v>
      </c>
      <c r="P460" s="667"/>
      <c r="Q460" s="21">
        <f t="shared" si="76"/>
        <v>1</v>
      </c>
      <c r="R460" s="663">
        <f t="shared" si="77"/>
        <v>0</v>
      </c>
      <c r="S460" s="316">
        <f t="shared" si="78"/>
        <v>0</v>
      </c>
    </row>
    <row r="461" spans="1:19">
      <c r="A461" s="150"/>
      <c r="B461" s="54"/>
      <c r="C461" s="21">
        <f t="shared" si="69"/>
        <v>1</v>
      </c>
      <c r="D461" s="667"/>
      <c r="E461" s="21">
        <f t="shared" si="70"/>
        <v>1</v>
      </c>
      <c r="F461" s="667"/>
      <c r="G461" s="21">
        <f t="shared" si="71"/>
        <v>1</v>
      </c>
      <c r="H461" s="667"/>
      <c r="I461" s="21">
        <f t="shared" si="72"/>
        <v>1</v>
      </c>
      <c r="J461" s="667"/>
      <c r="K461" s="21">
        <f t="shared" si="73"/>
        <v>1</v>
      </c>
      <c r="L461" s="667"/>
      <c r="M461" s="21">
        <f t="shared" si="74"/>
        <v>1</v>
      </c>
      <c r="N461" s="667"/>
      <c r="O461" s="21">
        <f t="shared" si="75"/>
        <v>1</v>
      </c>
      <c r="P461" s="667"/>
      <c r="Q461" s="21">
        <f t="shared" si="76"/>
        <v>1</v>
      </c>
      <c r="R461" s="663">
        <f t="shared" si="77"/>
        <v>0</v>
      </c>
      <c r="S461" s="316">
        <f t="shared" si="78"/>
        <v>0</v>
      </c>
    </row>
    <row r="462" spans="1:19">
      <c r="A462" s="150"/>
      <c r="B462" s="54"/>
      <c r="C462" s="21">
        <f t="shared" si="69"/>
        <v>1</v>
      </c>
      <c r="D462" s="667"/>
      <c r="E462" s="21">
        <f t="shared" si="70"/>
        <v>1</v>
      </c>
      <c r="F462" s="667"/>
      <c r="G462" s="21">
        <f t="shared" si="71"/>
        <v>1</v>
      </c>
      <c r="H462" s="667"/>
      <c r="I462" s="21">
        <f t="shared" si="72"/>
        <v>1</v>
      </c>
      <c r="J462" s="667"/>
      <c r="K462" s="21">
        <f t="shared" si="73"/>
        <v>1</v>
      </c>
      <c r="L462" s="667"/>
      <c r="M462" s="21">
        <f t="shared" si="74"/>
        <v>1</v>
      </c>
      <c r="N462" s="667"/>
      <c r="O462" s="21">
        <f t="shared" si="75"/>
        <v>1</v>
      </c>
      <c r="P462" s="667"/>
      <c r="Q462" s="21">
        <f t="shared" si="76"/>
        <v>1</v>
      </c>
      <c r="R462" s="663">
        <f t="shared" si="77"/>
        <v>0</v>
      </c>
      <c r="S462" s="316">
        <f t="shared" si="78"/>
        <v>0</v>
      </c>
    </row>
    <row r="463" spans="1:19">
      <c r="A463" s="150"/>
      <c r="B463" s="54"/>
      <c r="C463" s="21">
        <f t="shared" si="69"/>
        <v>1</v>
      </c>
      <c r="D463" s="667"/>
      <c r="E463" s="21">
        <f t="shared" si="70"/>
        <v>1</v>
      </c>
      <c r="F463" s="667"/>
      <c r="G463" s="21">
        <f t="shared" si="71"/>
        <v>1</v>
      </c>
      <c r="H463" s="667"/>
      <c r="I463" s="21">
        <f t="shared" si="72"/>
        <v>1</v>
      </c>
      <c r="J463" s="667"/>
      <c r="K463" s="21">
        <f t="shared" si="73"/>
        <v>1</v>
      </c>
      <c r="L463" s="667"/>
      <c r="M463" s="21">
        <f t="shared" si="74"/>
        <v>1</v>
      </c>
      <c r="N463" s="667"/>
      <c r="O463" s="21">
        <f t="shared" si="75"/>
        <v>1</v>
      </c>
      <c r="P463" s="667"/>
      <c r="Q463" s="21">
        <f t="shared" si="76"/>
        <v>1</v>
      </c>
      <c r="R463" s="663">
        <f t="shared" si="77"/>
        <v>0</v>
      </c>
      <c r="S463" s="316">
        <f t="shared" si="78"/>
        <v>0</v>
      </c>
    </row>
    <row r="464" spans="1:19">
      <c r="A464" s="150"/>
      <c r="B464" s="54"/>
      <c r="C464" s="21">
        <f t="shared" si="69"/>
        <v>1</v>
      </c>
      <c r="D464" s="667"/>
      <c r="E464" s="21">
        <f t="shared" si="70"/>
        <v>1</v>
      </c>
      <c r="F464" s="667"/>
      <c r="G464" s="21">
        <f t="shared" si="71"/>
        <v>1</v>
      </c>
      <c r="H464" s="667"/>
      <c r="I464" s="21">
        <f t="shared" si="72"/>
        <v>1</v>
      </c>
      <c r="J464" s="667"/>
      <c r="K464" s="21">
        <f t="shared" si="73"/>
        <v>1</v>
      </c>
      <c r="L464" s="667"/>
      <c r="M464" s="21">
        <f t="shared" si="74"/>
        <v>1</v>
      </c>
      <c r="N464" s="667"/>
      <c r="O464" s="21">
        <f t="shared" si="75"/>
        <v>1</v>
      </c>
      <c r="P464" s="667"/>
      <c r="Q464" s="21">
        <f t="shared" si="76"/>
        <v>1</v>
      </c>
      <c r="R464" s="663">
        <f t="shared" si="77"/>
        <v>0</v>
      </c>
      <c r="S464" s="316">
        <f t="shared" si="78"/>
        <v>0</v>
      </c>
    </row>
    <row r="465" spans="1:19">
      <c r="A465" s="150"/>
      <c r="B465" s="54"/>
      <c r="C465" s="21">
        <f t="shared" si="69"/>
        <v>1</v>
      </c>
      <c r="D465" s="667"/>
      <c r="E465" s="21">
        <f t="shared" si="70"/>
        <v>1</v>
      </c>
      <c r="F465" s="667"/>
      <c r="G465" s="21">
        <f t="shared" si="71"/>
        <v>1</v>
      </c>
      <c r="H465" s="667"/>
      <c r="I465" s="21">
        <f t="shared" si="72"/>
        <v>1</v>
      </c>
      <c r="J465" s="667"/>
      <c r="K465" s="21">
        <f t="shared" si="73"/>
        <v>1</v>
      </c>
      <c r="L465" s="667"/>
      <c r="M465" s="21">
        <f t="shared" si="74"/>
        <v>1</v>
      </c>
      <c r="N465" s="667"/>
      <c r="O465" s="21">
        <f t="shared" si="75"/>
        <v>1</v>
      </c>
      <c r="P465" s="667"/>
      <c r="Q465" s="21">
        <f t="shared" si="76"/>
        <v>1</v>
      </c>
      <c r="R465" s="663">
        <f t="shared" si="77"/>
        <v>0</v>
      </c>
      <c r="S465" s="316">
        <f t="shared" si="78"/>
        <v>0</v>
      </c>
    </row>
    <row r="466" spans="1:19">
      <c r="A466" s="150"/>
      <c r="B466" s="54"/>
      <c r="C466" s="21">
        <f t="shared" si="69"/>
        <v>1</v>
      </c>
      <c r="D466" s="667"/>
      <c r="E466" s="21">
        <f t="shared" si="70"/>
        <v>1</v>
      </c>
      <c r="F466" s="667"/>
      <c r="G466" s="21">
        <f t="shared" si="71"/>
        <v>1</v>
      </c>
      <c r="H466" s="667"/>
      <c r="I466" s="21">
        <f t="shared" si="72"/>
        <v>1</v>
      </c>
      <c r="J466" s="667"/>
      <c r="K466" s="21">
        <f t="shared" si="73"/>
        <v>1</v>
      </c>
      <c r="L466" s="667"/>
      <c r="M466" s="21">
        <f t="shared" si="74"/>
        <v>1</v>
      </c>
      <c r="N466" s="667"/>
      <c r="O466" s="21">
        <f t="shared" si="75"/>
        <v>1</v>
      </c>
      <c r="P466" s="667"/>
      <c r="Q466" s="21">
        <f t="shared" si="76"/>
        <v>1</v>
      </c>
      <c r="R466" s="663">
        <f t="shared" si="77"/>
        <v>0</v>
      </c>
      <c r="S466" s="316">
        <f t="shared" si="78"/>
        <v>0</v>
      </c>
    </row>
    <row r="467" spans="1:19">
      <c r="A467" s="150"/>
      <c r="B467" s="54"/>
      <c r="C467" s="21">
        <f t="shared" si="69"/>
        <v>1</v>
      </c>
      <c r="D467" s="667"/>
      <c r="E467" s="21">
        <f t="shared" si="70"/>
        <v>1</v>
      </c>
      <c r="F467" s="667"/>
      <c r="G467" s="21">
        <f t="shared" si="71"/>
        <v>1</v>
      </c>
      <c r="H467" s="667"/>
      <c r="I467" s="21">
        <f t="shared" si="72"/>
        <v>1</v>
      </c>
      <c r="J467" s="667"/>
      <c r="K467" s="21">
        <f t="shared" si="73"/>
        <v>1</v>
      </c>
      <c r="L467" s="667"/>
      <c r="M467" s="21">
        <f t="shared" si="74"/>
        <v>1</v>
      </c>
      <c r="N467" s="667"/>
      <c r="O467" s="21">
        <f t="shared" si="75"/>
        <v>1</v>
      </c>
      <c r="P467" s="667"/>
      <c r="Q467" s="21">
        <f t="shared" si="76"/>
        <v>1</v>
      </c>
      <c r="R467" s="663">
        <f t="shared" si="77"/>
        <v>0</v>
      </c>
      <c r="S467" s="316">
        <f t="shared" si="78"/>
        <v>0</v>
      </c>
    </row>
    <row r="468" spans="1:19">
      <c r="A468" s="150"/>
      <c r="B468" s="54"/>
      <c r="C468" s="21">
        <f t="shared" si="69"/>
        <v>1</v>
      </c>
      <c r="D468" s="667"/>
      <c r="E468" s="21">
        <f t="shared" si="70"/>
        <v>1</v>
      </c>
      <c r="F468" s="667"/>
      <c r="G468" s="21">
        <f t="shared" si="71"/>
        <v>1</v>
      </c>
      <c r="H468" s="667"/>
      <c r="I468" s="21">
        <f t="shared" si="72"/>
        <v>1</v>
      </c>
      <c r="J468" s="667"/>
      <c r="K468" s="21">
        <f t="shared" si="73"/>
        <v>1</v>
      </c>
      <c r="L468" s="667"/>
      <c r="M468" s="21">
        <f t="shared" si="74"/>
        <v>1</v>
      </c>
      <c r="N468" s="667"/>
      <c r="O468" s="21">
        <f t="shared" si="75"/>
        <v>1</v>
      </c>
      <c r="P468" s="667"/>
      <c r="Q468" s="21">
        <f t="shared" si="76"/>
        <v>1</v>
      </c>
      <c r="R468" s="663">
        <f t="shared" si="77"/>
        <v>0</v>
      </c>
      <c r="S468" s="316">
        <f t="shared" ref="S468:S497" si="79">ROUND(R468*B468/10000,0)</f>
        <v>0</v>
      </c>
    </row>
    <row r="469" spans="1:19">
      <c r="A469" s="150"/>
      <c r="B469" s="54"/>
      <c r="C469" s="21">
        <f t="shared" si="69"/>
        <v>1</v>
      </c>
      <c r="D469" s="667"/>
      <c r="E469" s="21">
        <f t="shared" si="70"/>
        <v>1</v>
      </c>
      <c r="F469" s="667"/>
      <c r="G469" s="21">
        <f t="shared" si="71"/>
        <v>1</v>
      </c>
      <c r="H469" s="667"/>
      <c r="I469" s="21">
        <f t="shared" si="72"/>
        <v>1</v>
      </c>
      <c r="J469" s="667"/>
      <c r="K469" s="21">
        <f t="shared" si="73"/>
        <v>1</v>
      </c>
      <c r="L469" s="667"/>
      <c r="M469" s="21">
        <f t="shared" si="74"/>
        <v>1</v>
      </c>
      <c r="N469" s="667"/>
      <c r="O469" s="21">
        <f t="shared" si="75"/>
        <v>1</v>
      </c>
      <c r="P469" s="667"/>
      <c r="Q469" s="21">
        <f t="shared" si="76"/>
        <v>1</v>
      </c>
      <c r="R469" s="663">
        <f t="shared" si="77"/>
        <v>0</v>
      </c>
      <c r="S469" s="316">
        <f t="shared" si="79"/>
        <v>0</v>
      </c>
    </row>
    <row r="470" spans="1:19">
      <c r="A470" s="150"/>
      <c r="B470" s="54"/>
      <c r="C470" s="21">
        <f t="shared" si="69"/>
        <v>1</v>
      </c>
      <c r="D470" s="667"/>
      <c r="E470" s="21">
        <f t="shared" si="70"/>
        <v>1</v>
      </c>
      <c r="F470" s="667"/>
      <c r="G470" s="21">
        <f t="shared" si="71"/>
        <v>1</v>
      </c>
      <c r="H470" s="667"/>
      <c r="I470" s="21">
        <f t="shared" si="72"/>
        <v>1</v>
      </c>
      <c r="J470" s="667"/>
      <c r="K470" s="21">
        <f t="shared" si="73"/>
        <v>1</v>
      </c>
      <c r="L470" s="667"/>
      <c r="M470" s="21">
        <f t="shared" si="74"/>
        <v>1</v>
      </c>
      <c r="N470" s="667"/>
      <c r="O470" s="21">
        <f t="shared" si="75"/>
        <v>1</v>
      </c>
      <c r="P470" s="667"/>
      <c r="Q470" s="21">
        <f t="shared" si="76"/>
        <v>1</v>
      </c>
      <c r="R470" s="663">
        <f t="shared" si="77"/>
        <v>0</v>
      </c>
      <c r="S470" s="316">
        <f t="shared" si="79"/>
        <v>0</v>
      </c>
    </row>
    <row r="471" spans="1:19">
      <c r="A471" s="150"/>
      <c r="B471" s="54"/>
      <c r="C471" s="21">
        <f t="shared" si="69"/>
        <v>1</v>
      </c>
      <c r="D471" s="667"/>
      <c r="E471" s="21">
        <f t="shared" si="70"/>
        <v>1</v>
      </c>
      <c r="F471" s="667"/>
      <c r="G471" s="21">
        <f t="shared" si="71"/>
        <v>1</v>
      </c>
      <c r="H471" s="667"/>
      <c r="I471" s="21">
        <f t="shared" si="72"/>
        <v>1</v>
      </c>
      <c r="J471" s="667"/>
      <c r="K471" s="21">
        <f t="shared" si="73"/>
        <v>1</v>
      </c>
      <c r="L471" s="667"/>
      <c r="M471" s="21">
        <f t="shared" si="74"/>
        <v>1</v>
      </c>
      <c r="N471" s="667"/>
      <c r="O471" s="21">
        <f t="shared" si="75"/>
        <v>1</v>
      </c>
      <c r="P471" s="667"/>
      <c r="Q471" s="21">
        <f t="shared" si="76"/>
        <v>1</v>
      </c>
      <c r="R471" s="663">
        <f t="shared" si="77"/>
        <v>0</v>
      </c>
      <c r="S471" s="316">
        <f t="shared" si="79"/>
        <v>0</v>
      </c>
    </row>
    <row r="472" spans="1:19">
      <c r="A472" s="150"/>
      <c r="B472" s="54"/>
      <c r="C472" s="21">
        <f t="shared" si="69"/>
        <v>1</v>
      </c>
      <c r="D472" s="667"/>
      <c r="E472" s="21">
        <f t="shared" si="70"/>
        <v>1</v>
      </c>
      <c r="F472" s="667"/>
      <c r="G472" s="21">
        <f t="shared" si="71"/>
        <v>1</v>
      </c>
      <c r="H472" s="667"/>
      <c r="I472" s="21">
        <f t="shared" si="72"/>
        <v>1</v>
      </c>
      <c r="J472" s="667"/>
      <c r="K472" s="21">
        <f t="shared" si="73"/>
        <v>1</v>
      </c>
      <c r="L472" s="667"/>
      <c r="M472" s="21">
        <f t="shared" si="74"/>
        <v>1</v>
      </c>
      <c r="N472" s="667"/>
      <c r="O472" s="21">
        <f t="shared" si="75"/>
        <v>1</v>
      </c>
      <c r="P472" s="667"/>
      <c r="Q472" s="21">
        <f t="shared" si="76"/>
        <v>1</v>
      </c>
      <c r="R472" s="663">
        <f t="shared" si="77"/>
        <v>0</v>
      </c>
      <c r="S472" s="316">
        <f t="shared" si="79"/>
        <v>0</v>
      </c>
    </row>
    <row r="473" spans="1:19">
      <c r="A473" s="150"/>
      <c r="B473" s="54"/>
      <c r="C473" s="21">
        <f t="shared" si="69"/>
        <v>1</v>
      </c>
      <c r="D473" s="667"/>
      <c r="E473" s="21">
        <f t="shared" si="70"/>
        <v>1</v>
      </c>
      <c r="F473" s="667"/>
      <c r="G473" s="21">
        <f t="shared" si="71"/>
        <v>1</v>
      </c>
      <c r="H473" s="667"/>
      <c r="I473" s="21">
        <f t="shared" si="72"/>
        <v>1</v>
      </c>
      <c r="J473" s="667"/>
      <c r="K473" s="21">
        <f t="shared" si="73"/>
        <v>1</v>
      </c>
      <c r="L473" s="667"/>
      <c r="M473" s="21">
        <f t="shared" si="74"/>
        <v>1</v>
      </c>
      <c r="N473" s="667"/>
      <c r="O473" s="21">
        <f t="shared" si="75"/>
        <v>1</v>
      </c>
      <c r="P473" s="667"/>
      <c r="Q473" s="21">
        <f t="shared" si="76"/>
        <v>1</v>
      </c>
      <c r="R473" s="663">
        <f t="shared" si="77"/>
        <v>0</v>
      </c>
      <c r="S473" s="316">
        <f t="shared" si="79"/>
        <v>0</v>
      </c>
    </row>
    <row r="474" spans="1:19">
      <c r="A474" s="150"/>
      <c r="B474" s="54"/>
      <c r="C474" s="21">
        <f t="shared" ref="C474:C524" si="80">IF(B474="",1,(LOOKUP(B474,$3:$3,$4:$4)-LOOKUP($B$24,$3:$3,$4:$4)+100)/100)</f>
        <v>1</v>
      </c>
      <c r="D474" s="667"/>
      <c r="E474" s="21">
        <f t="shared" ref="E474:E524" si="81">(SUMIF($5:$5,D474,$6:$6)-SUMIF($5:$5,$D$24,$6:$6)+100)/100</f>
        <v>1</v>
      </c>
      <c r="F474" s="667"/>
      <c r="G474" s="21">
        <f t="shared" ref="G474:G524" si="82">(SUMIF($7:$7,F474,$8:$8)-SUMIF($7:$7,$F$24,$8:$8)+100)/100</f>
        <v>1</v>
      </c>
      <c r="H474" s="667"/>
      <c r="I474" s="21">
        <f t="shared" ref="I474:I524" si="83">(SUMIF($9:$9,H474,$10:$10)-SUMIF($9:$9,$H$24,$10:$10)+100)/100</f>
        <v>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c r="Q474" s="21">
        <f t="shared" ref="Q474:Q524" si="87">(SUMIF($17:$17,P474,$18:$18)-SUMIF($17:$17,$P$24,$18:$18)+100)/100</f>
        <v>1</v>
      </c>
      <c r="R474" s="663">
        <f t="shared" ref="R474:R524" si="88">IF(B474="",0,ROUND($R$24*C474*E474*G474*I474*K474*M474*O474*Q474,0))</f>
        <v>0</v>
      </c>
      <c r="S474" s="316">
        <f t="shared" si="79"/>
        <v>0</v>
      </c>
    </row>
    <row r="475" spans="1:19">
      <c r="A475" s="150"/>
      <c r="B475" s="54"/>
      <c r="C475" s="21">
        <f t="shared" si="80"/>
        <v>1</v>
      </c>
      <c r="D475" s="667"/>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150"/>
      <c r="B476" s="54"/>
      <c r="C476" s="21">
        <f t="shared" si="80"/>
        <v>1</v>
      </c>
      <c r="D476" s="667"/>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150"/>
      <c r="B477" s="54"/>
      <c r="C477" s="21">
        <f t="shared" si="80"/>
        <v>1</v>
      </c>
      <c r="D477" s="667"/>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150"/>
      <c r="B478" s="54"/>
      <c r="C478" s="21">
        <f t="shared" si="80"/>
        <v>1</v>
      </c>
      <c r="D478" s="667"/>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150"/>
      <c r="B479" s="54"/>
      <c r="C479" s="21">
        <f t="shared" si="80"/>
        <v>1</v>
      </c>
      <c r="D479" s="667"/>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150"/>
      <c r="B480" s="54"/>
      <c r="C480" s="21">
        <f t="shared" si="80"/>
        <v>1</v>
      </c>
      <c r="D480" s="667"/>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150"/>
      <c r="B481" s="54"/>
      <c r="C481" s="21">
        <f t="shared" si="80"/>
        <v>1</v>
      </c>
      <c r="D481" s="667"/>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150"/>
      <c r="B482" s="54"/>
      <c r="C482" s="21">
        <f t="shared" si="80"/>
        <v>1</v>
      </c>
      <c r="D482" s="667"/>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150"/>
      <c r="B483" s="54"/>
      <c r="C483" s="21">
        <f t="shared" si="80"/>
        <v>1</v>
      </c>
      <c r="D483" s="667"/>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150"/>
      <c r="B484" s="54"/>
      <c r="C484" s="21">
        <f t="shared" si="80"/>
        <v>1</v>
      </c>
      <c r="D484" s="667"/>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150"/>
      <c r="B485" s="54"/>
      <c r="C485" s="21">
        <f t="shared" si="80"/>
        <v>1</v>
      </c>
      <c r="D485" s="667"/>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150"/>
      <c r="B486" s="54"/>
      <c r="C486" s="21">
        <f t="shared" si="80"/>
        <v>1</v>
      </c>
      <c r="D486" s="667"/>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150"/>
      <c r="B487" s="54"/>
      <c r="C487" s="21">
        <f t="shared" si="80"/>
        <v>1</v>
      </c>
      <c r="D487" s="667"/>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150"/>
      <c r="B488" s="54"/>
      <c r="C488" s="21">
        <f t="shared" si="80"/>
        <v>1</v>
      </c>
      <c r="D488" s="667"/>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150"/>
      <c r="B489" s="54"/>
      <c r="C489" s="21">
        <f t="shared" si="80"/>
        <v>1</v>
      </c>
      <c r="D489" s="667"/>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150"/>
      <c r="B490" s="54"/>
      <c r="C490" s="21">
        <f t="shared" si="80"/>
        <v>1</v>
      </c>
      <c r="D490" s="667"/>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150"/>
      <c r="B491" s="54"/>
      <c r="C491" s="21">
        <f t="shared" si="80"/>
        <v>1</v>
      </c>
      <c r="D491" s="667"/>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150"/>
      <c r="B492" s="54"/>
      <c r="C492" s="21">
        <f t="shared" si="80"/>
        <v>1</v>
      </c>
      <c r="D492" s="667"/>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150"/>
      <c r="B493" s="54"/>
      <c r="C493" s="21">
        <f t="shared" si="80"/>
        <v>1</v>
      </c>
      <c r="D493" s="667"/>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150"/>
      <c r="B494" s="54"/>
      <c r="C494" s="21">
        <f t="shared" si="80"/>
        <v>1</v>
      </c>
      <c r="D494" s="667"/>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150"/>
      <c r="B495" s="54"/>
      <c r="C495" s="21">
        <f t="shared" si="80"/>
        <v>1</v>
      </c>
      <c r="D495" s="667"/>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150"/>
      <c r="B496" s="54"/>
      <c r="C496" s="21">
        <f t="shared" si="80"/>
        <v>1</v>
      </c>
      <c r="D496" s="667"/>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150"/>
      <c r="B497" s="54"/>
      <c r="C497" s="21">
        <f t="shared" si="80"/>
        <v>1</v>
      </c>
      <c r="D497" s="667"/>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150"/>
      <c r="B498" s="54"/>
      <c r="C498" s="21">
        <f t="shared" si="80"/>
        <v>1</v>
      </c>
      <c r="D498" s="667"/>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ref="S498:S524" si="89">ROUND(R498*B498/10000,0)</f>
        <v>0</v>
      </c>
    </row>
    <row r="499" spans="1:19">
      <c r="A499" s="150"/>
      <c r="B499" s="54"/>
      <c r="C499" s="21">
        <f t="shared" si="80"/>
        <v>1</v>
      </c>
      <c r="D499" s="667"/>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89"/>
        <v>0</v>
      </c>
    </row>
    <row r="500" spans="1:19">
      <c r="A500" s="150"/>
      <c r="B500" s="54"/>
      <c r="C500" s="21">
        <f t="shared" si="80"/>
        <v>1</v>
      </c>
      <c r="D500" s="667"/>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89"/>
        <v>0</v>
      </c>
    </row>
    <row r="501" spans="1:19">
      <c r="A501" s="150"/>
      <c r="B501" s="54"/>
      <c r="C501" s="21">
        <f t="shared" si="80"/>
        <v>1</v>
      </c>
      <c r="D501" s="667"/>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89"/>
        <v>0</v>
      </c>
    </row>
    <row r="502" spans="1:19">
      <c r="A502" s="150"/>
      <c r="B502" s="54"/>
      <c r="C502" s="21">
        <f t="shared" si="80"/>
        <v>1</v>
      </c>
      <c r="D502" s="667"/>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89"/>
        <v>0</v>
      </c>
    </row>
    <row r="503" spans="1:19">
      <c r="A503" s="150"/>
      <c r="B503" s="54"/>
      <c r="C503" s="21">
        <f t="shared" si="80"/>
        <v>1</v>
      </c>
      <c r="D503" s="667"/>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89"/>
        <v>0</v>
      </c>
    </row>
    <row r="504" spans="1:19">
      <c r="A504" s="150"/>
      <c r="B504" s="54"/>
      <c r="C504" s="21">
        <f t="shared" si="80"/>
        <v>1</v>
      </c>
      <c r="D504" s="667"/>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89"/>
        <v>0</v>
      </c>
    </row>
    <row r="505" spans="1:19">
      <c r="A505" s="150"/>
      <c r="B505" s="54"/>
      <c r="C505" s="21">
        <f t="shared" si="80"/>
        <v>1</v>
      </c>
      <c r="D505" s="667"/>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89"/>
        <v>0</v>
      </c>
    </row>
    <row r="506" spans="1:19">
      <c r="A506" s="150"/>
      <c r="B506" s="54"/>
      <c r="C506" s="21">
        <f t="shared" si="80"/>
        <v>1</v>
      </c>
      <c r="D506" s="667"/>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89"/>
        <v>0</v>
      </c>
    </row>
    <row r="507" spans="1:19">
      <c r="A507" s="150"/>
      <c r="B507" s="54"/>
      <c r="C507" s="21">
        <f t="shared" si="80"/>
        <v>1</v>
      </c>
      <c r="D507" s="667"/>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89"/>
        <v>0</v>
      </c>
    </row>
    <row r="508" spans="1:19">
      <c r="A508" s="150"/>
      <c r="B508" s="54"/>
      <c r="C508" s="21">
        <f t="shared" si="80"/>
        <v>1</v>
      </c>
      <c r="D508" s="667"/>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89"/>
        <v>0</v>
      </c>
    </row>
    <row r="509" spans="1:19">
      <c r="A509" s="150"/>
      <c r="B509" s="54"/>
      <c r="C509" s="21">
        <f t="shared" si="80"/>
        <v>1</v>
      </c>
      <c r="D509" s="667"/>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89"/>
        <v>0</v>
      </c>
    </row>
    <row r="510" spans="1:19">
      <c r="A510" s="150"/>
      <c r="B510" s="54"/>
      <c r="C510" s="21">
        <f t="shared" si="80"/>
        <v>1</v>
      </c>
      <c r="D510" s="667"/>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89"/>
        <v>0</v>
      </c>
    </row>
    <row r="511" spans="1:19">
      <c r="A511" s="150"/>
      <c r="B511" s="54"/>
      <c r="C511" s="21">
        <f t="shared" si="80"/>
        <v>1</v>
      </c>
      <c r="D511" s="667"/>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89"/>
        <v>0</v>
      </c>
    </row>
    <row r="512" spans="1:19">
      <c r="A512" s="150"/>
      <c r="B512" s="54"/>
      <c r="C512" s="21">
        <f t="shared" si="80"/>
        <v>1</v>
      </c>
      <c r="D512" s="667"/>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89"/>
        <v>0</v>
      </c>
    </row>
    <row r="513" spans="1:19">
      <c r="A513" s="150"/>
      <c r="B513" s="54"/>
      <c r="C513" s="21">
        <f t="shared" si="80"/>
        <v>1</v>
      </c>
      <c r="D513" s="667"/>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89"/>
        <v>0</v>
      </c>
    </row>
    <row r="514" spans="1:19">
      <c r="A514" s="150"/>
      <c r="B514" s="54"/>
      <c r="C514" s="21">
        <f t="shared" si="80"/>
        <v>1</v>
      </c>
      <c r="D514" s="667"/>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89"/>
        <v>0</v>
      </c>
    </row>
    <row r="515" spans="1:19">
      <c r="A515" s="150"/>
      <c r="B515" s="54"/>
      <c r="C515" s="21">
        <f t="shared" si="80"/>
        <v>1</v>
      </c>
      <c r="D515" s="667"/>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89"/>
        <v>0</v>
      </c>
    </row>
    <row r="516" spans="1:19">
      <c r="A516" s="150"/>
      <c r="B516" s="54"/>
      <c r="C516" s="21">
        <f t="shared" si="80"/>
        <v>1</v>
      </c>
      <c r="D516" s="667"/>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89"/>
        <v>0</v>
      </c>
    </row>
    <row r="517" spans="1:19">
      <c r="A517" s="150"/>
      <c r="B517" s="54"/>
      <c r="C517" s="21">
        <f t="shared" si="80"/>
        <v>1</v>
      </c>
      <c r="D517" s="667"/>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89"/>
        <v>0</v>
      </c>
    </row>
    <row r="518" spans="1:19">
      <c r="A518" s="150"/>
      <c r="B518" s="54"/>
      <c r="C518" s="21">
        <f t="shared" si="80"/>
        <v>1</v>
      </c>
      <c r="D518" s="667"/>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89"/>
        <v>0</v>
      </c>
    </row>
    <row r="519" spans="1:19">
      <c r="A519" s="150"/>
      <c r="B519" s="54"/>
      <c r="C519" s="21">
        <f t="shared" si="80"/>
        <v>1</v>
      </c>
      <c r="D519" s="667"/>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89"/>
        <v>0</v>
      </c>
    </row>
    <row r="520" spans="1:19">
      <c r="A520" s="150"/>
      <c r="B520" s="54"/>
      <c r="C520" s="21">
        <f t="shared" si="80"/>
        <v>1</v>
      </c>
      <c r="D520" s="667"/>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89"/>
        <v>0</v>
      </c>
    </row>
    <row r="521" spans="1:19">
      <c r="A521" s="150"/>
      <c r="B521" s="54"/>
      <c r="C521" s="21">
        <f t="shared" si="80"/>
        <v>1</v>
      </c>
      <c r="D521" s="667"/>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89"/>
        <v>0</v>
      </c>
    </row>
    <row r="522" spans="1:19">
      <c r="A522" s="150"/>
      <c r="B522" s="54"/>
      <c r="C522" s="21">
        <f t="shared" si="80"/>
        <v>1</v>
      </c>
      <c r="D522" s="667"/>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89"/>
        <v>0</v>
      </c>
    </row>
    <row r="523" spans="1:19">
      <c r="A523" s="150"/>
      <c r="B523" s="54"/>
      <c r="C523" s="21">
        <f t="shared" si="80"/>
        <v>1</v>
      </c>
      <c r="D523" s="667"/>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89"/>
        <v>0</v>
      </c>
    </row>
    <row r="524" spans="1:19">
      <c r="A524" s="150"/>
      <c r="B524" s="54"/>
      <c r="C524" s="21">
        <f t="shared" si="80"/>
        <v>1</v>
      </c>
      <c r="D524" s="667"/>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SUM(J8:J15)-J13-J14</f>
        <v>185</v>
      </c>
      <c r="K17" s="3023">
        <f>SUM(K8:K15)-K13-K14</f>
        <v>185</v>
      </c>
      <c r="L17" s="3023">
        <f>SUM(L8:L15)-L13-L14</f>
        <v>185</v>
      </c>
      <c r="M17" s="3023">
        <f>SUM(M8:M15)-M13-M14</f>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1"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1" t="s">
        <v>2616</v>
      </c>
      <c r="C27" s="3103" t="s">
        <v>2456</v>
      </c>
      <c r="D27" s="3104"/>
      <c r="E27" s="3105">
        <v>1</v>
      </c>
      <c r="F27" s="3106" t="s">
        <v>2457</v>
      </c>
      <c r="G27" s="3106"/>
    </row>
    <row r="28" spans="1:13" ht="19.5" customHeight="1">
      <c r="A28" s="3765"/>
      <c r="B28" s="3762"/>
      <c r="C28" s="3107" t="s">
        <v>2458</v>
      </c>
      <c r="D28" s="3108"/>
      <c r="E28" s="3109">
        <v>1</v>
      </c>
      <c r="F28" s="3106" t="s">
        <v>2459</v>
      </c>
      <c r="G28" s="3106"/>
    </row>
    <row r="29" spans="1:13" ht="19.5" customHeight="1">
      <c r="A29" s="3765"/>
      <c r="B29" s="3762"/>
      <c r="C29" s="3107" t="s">
        <v>2460</v>
      </c>
      <c r="D29" s="3108"/>
      <c r="E29" s="3109">
        <v>0.8</v>
      </c>
      <c r="F29" s="3106" t="s">
        <v>2461</v>
      </c>
      <c r="G29" s="3106"/>
    </row>
    <row r="30" spans="1:13" ht="19.5" customHeight="1">
      <c r="A30" s="3765"/>
      <c r="B30" s="3762"/>
      <c r="C30" s="3107" t="s">
        <v>2462</v>
      </c>
      <c r="D30" s="3108"/>
      <c r="E30" s="3109">
        <v>0.8</v>
      </c>
      <c r="F30" s="3106" t="s">
        <v>2463</v>
      </c>
      <c r="G30" s="3106"/>
    </row>
    <row r="31" spans="1:13" ht="19.5" customHeight="1">
      <c r="A31" s="3765"/>
      <c r="B31" s="3762"/>
      <c r="C31" s="3107" t="s">
        <v>2464</v>
      </c>
      <c r="D31" s="3108"/>
      <c r="E31" s="3109">
        <v>0.8</v>
      </c>
      <c r="F31" s="3106" t="s">
        <v>2465</v>
      </c>
      <c r="G31" s="3106"/>
    </row>
    <row r="32" spans="1:13" ht="19.5" customHeight="1">
      <c r="A32" s="3765"/>
      <c r="B32" s="3762"/>
      <c r="C32" s="3107" t="s">
        <v>2466</v>
      </c>
      <c r="D32" s="3108"/>
      <c r="E32" s="3109">
        <v>0.7</v>
      </c>
      <c r="F32" s="3106" t="s">
        <v>2467</v>
      </c>
      <c r="G32" s="3106"/>
    </row>
    <row r="33" spans="1:7" ht="19.5" customHeight="1">
      <c r="A33" s="3765"/>
      <c r="B33" s="3762"/>
      <c r="C33" s="3107" t="s">
        <v>2468</v>
      </c>
      <c r="D33" s="3108"/>
      <c r="E33" s="3109">
        <v>0.8</v>
      </c>
      <c r="F33" s="3106" t="s">
        <v>2469</v>
      </c>
      <c r="G33" s="3106"/>
    </row>
    <row r="34" spans="1:7" ht="19.5" customHeight="1">
      <c r="A34" s="3765"/>
      <c r="B34" s="3762"/>
      <c r="C34" s="3107" t="s">
        <v>2470</v>
      </c>
      <c r="D34" s="3108"/>
      <c r="E34" s="3109">
        <v>0.6</v>
      </c>
      <c r="F34" s="3106" t="s">
        <v>2471</v>
      </c>
      <c r="G34" s="3106"/>
    </row>
    <row r="35" spans="1:7" ht="19.5" customHeight="1">
      <c r="A35" s="3765"/>
      <c r="B35" s="3762"/>
      <c r="C35" s="3107" t="s">
        <v>2472</v>
      </c>
      <c r="D35" s="3108"/>
      <c r="E35" s="3109">
        <v>0.2</v>
      </c>
      <c r="F35" s="3106" t="s">
        <v>2473</v>
      </c>
      <c r="G35" s="3106"/>
    </row>
    <row r="36" spans="1:7" ht="19.5" customHeight="1">
      <c r="A36" s="3765"/>
      <c r="B36" s="3762"/>
      <c r="C36" s="3107" t="s">
        <v>2474</v>
      </c>
      <c r="D36" s="3108"/>
      <c r="E36" s="3109">
        <v>0.2</v>
      </c>
      <c r="F36" s="3106" t="s">
        <v>2475</v>
      </c>
      <c r="G36" s="3106"/>
    </row>
    <row r="37" spans="1:7" ht="19.5" customHeight="1">
      <c r="A37" s="3765"/>
      <c r="B37" s="3767" t="s">
        <v>2636</v>
      </c>
      <c r="C37" s="3107" t="s">
        <v>2476</v>
      </c>
      <c r="D37" s="3108"/>
      <c r="E37" s="3109">
        <v>0.6</v>
      </c>
      <c r="F37" s="3106" t="s">
        <v>2477</v>
      </c>
      <c r="G37" s="3106"/>
    </row>
    <row r="38" spans="1:7" ht="19.5" customHeight="1">
      <c r="A38" s="3765"/>
      <c r="B38" s="3762"/>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1"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7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7"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71"/>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71"/>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71"/>
      <c r="C112" s="3118" t="s">
        <v>2736</v>
      </c>
      <c r="D112" s="3092" t="s">
        <v>2737</v>
      </c>
      <c r="E112" s="3118">
        <v>0.1</v>
      </c>
      <c r="F112" s="3118">
        <v>15</v>
      </c>
    </row>
    <row r="113" spans="1:6" ht="13.5">
      <c r="A113" s="3118">
        <v>41</v>
      </c>
      <c r="B113" s="3772" t="s">
        <v>2738</v>
      </c>
      <c r="C113" s="3118" t="s">
        <v>2739</v>
      </c>
      <c r="D113" s="3092" t="s">
        <v>2740</v>
      </c>
      <c r="E113" s="3118">
        <v>0.1</v>
      </c>
      <c r="F113" s="3118">
        <v>15</v>
      </c>
    </row>
    <row r="114" spans="1:6" ht="13.5">
      <c r="A114" s="3118">
        <v>42</v>
      </c>
      <c r="B114" s="3772"/>
      <c r="C114" s="3118" t="s">
        <v>2741</v>
      </c>
      <c r="D114" s="3092" t="s">
        <v>2742</v>
      </c>
      <c r="E114" s="3118">
        <v>0.1</v>
      </c>
      <c r="F114" s="3118">
        <v>15</v>
      </c>
    </row>
    <row r="115" spans="1:6" ht="24">
      <c r="A115" s="3118">
        <v>43</v>
      </c>
      <c r="B115" s="3772"/>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71"/>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71"/>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71"/>
      <c r="C121" s="3118" t="s">
        <v>2758</v>
      </c>
      <c r="D121" s="3092" t="s">
        <v>2759</v>
      </c>
      <c r="E121" s="3118">
        <v>0.1</v>
      </c>
      <c r="F121" s="3118">
        <v>15</v>
      </c>
    </row>
    <row r="122" spans="1:6" ht="24">
      <c r="A122" s="3118">
        <v>50</v>
      </c>
      <c r="B122" s="3772" t="s">
        <v>2760</v>
      </c>
      <c r="C122" s="3118" t="s">
        <v>2761</v>
      </c>
      <c r="D122" s="3092" t="s">
        <v>2762</v>
      </c>
      <c r="E122" s="3118">
        <v>0.1</v>
      </c>
      <c r="F122" s="3118">
        <v>15</v>
      </c>
    </row>
    <row r="123" spans="1:6" ht="24">
      <c r="A123" s="3118">
        <v>51</v>
      </c>
      <c r="B123" s="3772"/>
      <c r="C123" s="3118" t="s">
        <v>2763</v>
      </c>
      <c r="D123" s="3092" t="s">
        <v>2764</v>
      </c>
      <c r="E123" s="3118">
        <v>0.1</v>
      </c>
      <c r="F123" s="3118">
        <v>15</v>
      </c>
    </row>
    <row r="124" spans="1:6" ht="24">
      <c r="A124" s="3118">
        <v>52</v>
      </c>
      <c r="B124" s="3772" t="s">
        <v>2765</v>
      </c>
      <c r="C124" s="3118" t="s">
        <v>2766</v>
      </c>
      <c r="D124" s="3092" t="s">
        <v>2767</v>
      </c>
      <c r="E124" s="3118">
        <v>0.1</v>
      </c>
      <c r="F124" s="3118">
        <v>15</v>
      </c>
    </row>
    <row r="125" spans="1:6" ht="24">
      <c r="A125" s="3118">
        <v>53</v>
      </c>
      <c r="B125" s="377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2" t="s">
        <v>2773</v>
      </c>
      <c r="C127" s="3118" t="s">
        <v>2774</v>
      </c>
      <c r="D127" s="3092" t="s">
        <v>2775</v>
      </c>
      <c r="E127" s="3118">
        <v>0.1</v>
      </c>
      <c r="F127" s="3118">
        <v>15</v>
      </c>
    </row>
    <row r="128" spans="1:6" ht="13.5">
      <c r="A128" s="3118">
        <v>56</v>
      </c>
      <c r="B128" s="3772"/>
      <c r="C128" s="3118" t="s">
        <v>2776</v>
      </c>
      <c r="D128" s="3092" t="s">
        <v>2777</v>
      </c>
      <c r="E128" s="3118">
        <v>0.1</v>
      </c>
      <c r="F128" s="3118">
        <v>15</v>
      </c>
    </row>
    <row r="129" spans="1:6" ht="24">
      <c r="A129" s="3118">
        <v>57</v>
      </c>
      <c r="B129" s="3772"/>
      <c r="C129" s="3118" t="s">
        <v>2778</v>
      </c>
      <c r="D129" s="3092" t="s">
        <v>2779</v>
      </c>
      <c r="E129" s="3118">
        <v>0.1</v>
      </c>
      <c r="F129" s="3118">
        <v>15</v>
      </c>
    </row>
    <row r="130" spans="1:6" ht="24">
      <c r="A130" s="3118">
        <v>58</v>
      </c>
      <c r="B130" s="3772" t="s">
        <v>2780</v>
      </c>
      <c r="C130" s="3118" t="s">
        <v>2781</v>
      </c>
      <c r="D130" s="3092" t="s">
        <v>2782</v>
      </c>
      <c r="E130" s="3118">
        <v>0.1</v>
      </c>
      <c r="F130" s="3118">
        <v>15</v>
      </c>
    </row>
    <row r="131" spans="1:6" ht="13.5">
      <c r="A131" s="3118">
        <v>59</v>
      </c>
      <c r="B131" s="3772"/>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7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2" t="s">
        <v>2793</v>
      </c>
      <c r="C135" s="3118" t="s">
        <v>2794</v>
      </c>
      <c r="D135" s="3092" t="s">
        <v>2795</v>
      </c>
      <c r="E135" s="3118">
        <v>0.1</v>
      </c>
      <c r="F135" s="3118">
        <v>15</v>
      </c>
    </row>
    <row r="136" spans="1:6" ht="13.5">
      <c r="A136" s="3118">
        <v>64</v>
      </c>
      <c r="B136" s="377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29516</v>
      </c>
      <c r="C2" s="2" t="s">
        <v>106</v>
      </c>
      <c r="D2" s="199"/>
      <c r="E2" s="199"/>
      <c r="F2" s="199"/>
      <c r="G2" s="199"/>
    </row>
    <row r="3" spans="1:7" s="200" customFormat="1" ht="18" customHeight="1" thickBot="1">
      <c r="A3" s="203" t="s">
        <v>58</v>
      </c>
      <c r="B3" s="204">
        <f ca="1">ROUND(B2*10000/'数据-汇总表'!E3,0)</f>
        <v>236185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1249.6999999999998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1249.6999999999998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1249.6999999999998</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98</v>
      </c>
      <c r="D45" s="235">
        <f>C47</f>
        <v>4.0000000000000001E-3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658</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533</v>
      </c>
      <c r="D51" s="232"/>
      <c r="E51" s="232"/>
      <c r="F51" s="264"/>
      <c r="G51" s="234" t="s">
        <v>37</v>
      </c>
    </row>
    <row r="52" spans="1:7" s="208" customFormat="1" ht="16.5" thickBot="1">
      <c r="A52" s="265" t="s">
        <v>38</v>
      </c>
      <c r="B52" s="266"/>
      <c r="C52" s="267">
        <f ca="1">C31+C51</f>
        <v>29516</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N16" sqref="N1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2845</v>
      </c>
      <c r="B1" s="3775"/>
      <c r="C1" s="3775"/>
      <c r="D1" s="3775"/>
      <c r="E1" s="3775"/>
      <c r="F1" s="3775"/>
      <c r="G1" s="377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3"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3187</v>
      </c>
      <c r="B1" s="3777"/>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3238</v>
      </c>
      <c r="B1" s="3778"/>
      <c r="C1" s="3778"/>
      <c r="D1" s="3778"/>
      <c r="E1" s="3778"/>
      <c r="F1" s="3779"/>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45190</v>
      </c>
      <c r="B1" s="3210" t="s">
        <v>2844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ROUND(AVERAGEIF(E4:E16,"&lt;&gt;0"),2)</f>
        <v>0.4</v>
      </c>
      <c r="F3" s="3151">
        <f>ROUND(AVERAGEIF(F4:F16,"&lt;&gt;0"),2)</f>
        <v>0.22</v>
      </c>
      <c r="G3" s="3151">
        <f>ROUND(AVERAGEIF(G4:G16,"&lt;&gt;0"),2)</f>
        <v>0.9</v>
      </c>
      <c r="H3" s="3151">
        <f>ROUND(AVERAGEIF(H4:H16,"&lt;&gt;0"),2)</f>
        <v>0.65</v>
      </c>
      <c r="I3" s="3151">
        <f>F3</f>
        <v>0.22</v>
      </c>
      <c r="J3" s="3152"/>
      <c r="K3" s="3153">
        <f>ROUND(AVERAGEIF(K4:K16,"&lt;&gt;0"),4)</f>
        <v>8.3000000000000001E-3</v>
      </c>
      <c r="L3" s="3154">
        <f>ROUND(AVERAGEIF(L4:L16,"&lt;&gt;0"),4)</f>
        <v>4.0000000000000001E-3</v>
      </c>
      <c r="M3" s="3154">
        <f>ROUND(AVERAGEIF(M4:M16,"&lt;&gt;0"),4)</f>
        <v>2.2000000000000001E-3</v>
      </c>
      <c r="N3" s="3154">
        <f>ROUND(AVERAGEIF(N4:N16,"&lt;&gt;0"),4)</f>
        <v>8.9999999999999993E-3</v>
      </c>
      <c r="O3" s="3154">
        <f>ROUND(AVERAGEIF(O4:O16,"&lt;&gt;0"),4)</f>
        <v>6.4999999999999997E-3</v>
      </c>
      <c r="P3" s="3154">
        <f>M3</f>
        <v>2.2000000000000001E-3</v>
      </c>
      <c r="Q3" s="3152"/>
      <c r="R3" s="3155">
        <f>ROUND(SUMPRODUCT(PRODUCT(1+K4:K16)),4)</f>
        <v>1.0860000000000001</v>
      </c>
      <c r="S3" s="3156">
        <f>ROUND(SUMPRODUCT(PRODUCT(1+L4:L16)),4)</f>
        <v>1.0410999999999999</v>
      </c>
      <c r="T3" s="3156">
        <f>ROUND(SUMPRODUCT(PRODUCT(1+M4:M16)),4)</f>
        <v>1.0225</v>
      </c>
      <c r="U3" s="3156">
        <f>ROUND(SUMPRODUCT(PRODUCT(1+N4:N16)),4)</f>
        <v>1.0938000000000001</v>
      </c>
      <c r="V3" s="3156">
        <f>ROUND(SUMPRODUCT(PRODUCT(1+O4:O16)),4)</f>
        <v>1.0668</v>
      </c>
      <c r="W3" s="3155">
        <f>T3</f>
        <v>1.0225</v>
      </c>
      <c r="X3" s="3152"/>
      <c r="Y3" s="3157">
        <f>ROUND(AVERAGEIF(Y5:Y16,"&lt;&gt;0"),4)</f>
        <v>8.6999999999999994E-3</v>
      </c>
      <c r="Z3" s="3158">
        <f>ROUND(AVERAGEIF(Z5:Z16,"&lt;&gt;0"),4)</f>
        <v>3.5000000000000001E-3</v>
      </c>
      <c r="AA3" s="3159">
        <f>ROUND(AVERAGEIF(AA5:AA16,"&lt;&gt;0"),4)</f>
        <v>8.9999999999999998E-4</v>
      </c>
      <c r="AB3" s="3157">
        <f>ROUND(AVERAGEIF(AB5:AB16,"&lt;&gt;0"),4)</f>
        <v>9.4999999999999998E-3</v>
      </c>
      <c r="AC3" s="3160">
        <f>ROUND(AVERAGEIF(AC5:AC16,"&lt;&gt;0"),4)</f>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0">F5</f>
        <v>0</v>
      </c>
      <c r="J5" s="3181"/>
      <c r="K5" s="3182">
        <f t="shared" ref="K5:O16" si="1">D5/100</f>
        <v>0</v>
      </c>
      <c r="L5" s="3172">
        <f t="shared" si="1"/>
        <v>0</v>
      </c>
      <c r="M5" s="3172">
        <f t="shared" si="1"/>
        <v>0</v>
      </c>
      <c r="N5" s="3172">
        <f t="shared" si="1"/>
        <v>0</v>
      </c>
      <c r="O5" s="3172">
        <f t="shared" si="1"/>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IF(E5=0,0,ROUND(AVERAGE(E5:E16)/100,4))</f>
        <v>0</v>
      </c>
      <c r="AA5" s="3184">
        <f>IF(F5=0,0,ROUND(AVERAGE(F5:F16)/100,4))</f>
        <v>0</v>
      </c>
      <c r="AB5" s="3184">
        <f>IF(G5=0,0,ROUND(AVERAGE(G5:G16)/100,4))</f>
        <v>0</v>
      </c>
      <c r="AC5" s="3184">
        <f>IF(H5=0,0,ROUND(AVERAGE(H5:H16)/100,4))</f>
        <v>0</v>
      </c>
      <c r="AD5" s="3184">
        <f t="shared" ref="AD5:AD15" si="2">AA5</f>
        <v>0</v>
      </c>
    </row>
    <row r="6" spans="1:30" s="3185" customFormat="1" ht="12.75">
      <c r="A6" s="3176" t="s">
        <v>3375</v>
      </c>
      <c r="B6" s="3177">
        <v>2023</v>
      </c>
      <c r="C6" s="3178">
        <v>3</v>
      </c>
      <c r="D6" s="3179">
        <v>0</v>
      </c>
      <c r="E6" s="3179">
        <v>0</v>
      </c>
      <c r="F6" s="3179">
        <v>0</v>
      </c>
      <c r="G6" s="3179">
        <v>0</v>
      </c>
      <c r="H6" s="3179">
        <v>0</v>
      </c>
      <c r="I6" s="3180">
        <f t="shared" si="0"/>
        <v>0</v>
      </c>
      <c r="J6" s="3181"/>
      <c r="K6" s="3182">
        <f t="shared" ref="K6:O8" si="3">D6/100</f>
        <v>0</v>
      </c>
      <c r="L6" s="3172">
        <f t="shared" si="3"/>
        <v>0</v>
      </c>
      <c r="M6" s="3172">
        <f t="shared" si="3"/>
        <v>0</v>
      </c>
      <c r="N6" s="3172">
        <f t="shared" si="3"/>
        <v>0</v>
      </c>
      <c r="O6" s="3172">
        <f t="shared" si="3"/>
        <v>0</v>
      </c>
      <c r="P6" s="3172">
        <f>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0"/>
        <v>0.47</v>
      </c>
      <c r="J7" s="3192"/>
      <c r="K7" s="3193">
        <f t="shared" si="3"/>
        <v>9.1000000000000004E-3</v>
      </c>
      <c r="L7" s="3194">
        <f t="shared" si="3"/>
        <v>6.6E-3</v>
      </c>
      <c r="M7" s="3194">
        <f t="shared" si="3"/>
        <v>4.6999999999999993E-3</v>
      </c>
      <c r="N7" s="3194">
        <f t="shared" si="3"/>
        <v>9.5999999999999992E-3</v>
      </c>
      <c r="O7" s="3194">
        <f t="shared" si="3"/>
        <v>7.0999999999999995E-3</v>
      </c>
      <c r="P7" s="3194">
        <f>M7</f>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T7</f>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0"/>
        <v>0.56999999999999995</v>
      </c>
      <c r="J8" s="3181"/>
      <c r="K8" s="3182">
        <f t="shared" si="3"/>
        <v>8.8999999999999999E-3</v>
      </c>
      <c r="L8" s="3172">
        <f t="shared" si="3"/>
        <v>7.4000000000000003E-3</v>
      </c>
      <c r="M8" s="3172">
        <f t="shared" si="3"/>
        <v>5.6999999999999993E-3</v>
      </c>
      <c r="N8" s="3172">
        <f t="shared" si="3"/>
        <v>9.1999999999999998E-3</v>
      </c>
      <c r="O8" s="3172">
        <f t="shared" si="3"/>
        <v>5.0000000000000001E-3</v>
      </c>
      <c r="P8" s="3172">
        <f>M8</f>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T8</f>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0"/>
        <v>0.11</v>
      </c>
      <c r="J9" s="3181"/>
      <c r="K9" s="3182">
        <f t="shared" si="1"/>
        <v>6.1999999999999998E-3</v>
      </c>
      <c r="L9" s="3172">
        <f t="shared" si="1"/>
        <v>2E-3</v>
      </c>
      <c r="M9" s="3172">
        <f t="shared" si="1"/>
        <v>1.1000000000000001E-3</v>
      </c>
      <c r="N9" s="3172">
        <f t="shared" si="1"/>
        <v>6.8999999999999999E-3</v>
      </c>
      <c r="O9" s="3172">
        <f t="shared" si="1"/>
        <v>5.3E-3</v>
      </c>
      <c r="P9" s="3172">
        <f t="shared" ref="P9:P16" si="4">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5">T9</f>
        <v>1.0145</v>
      </c>
      <c r="X9" s="3181"/>
      <c r="Y9" s="3184">
        <f>IF(D9=0,0,ROUND(AVERAGE(D9:D17)/100,4))</f>
        <v>8.0999999999999996E-3</v>
      </c>
      <c r="Z9" s="3184">
        <f>IF(E9=0,0,ROUND(AVERAGE(E9:E16)/100,4))</f>
        <v>3.3E-3</v>
      </c>
      <c r="AA9" s="3184">
        <f>IF(F9=0,0,ROUND(AVERAGE(F9:F16)/100,4))</f>
        <v>1.5E-3</v>
      </c>
      <c r="AB9" s="3184">
        <f>IF(G9=0,0,ROUND(AVERAGE(G9:G16)/100,4))</f>
        <v>8.8999999999999999E-3</v>
      </c>
      <c r="AC9" s="3184">
        <f>IF(H9=0,0,ROUND(AVERAGE(H9:H16)/100,4))</f>
        <v>6.6E-3</v>
      </c>
      <c r="AD9" s="3184">
        <f t="shared" si="2"/>
        <v>1.5E-3</v>
      </c>
    </row>
    <row r="10" spans="1:30" s="3185" customFormat="1" ht="12.75">
      <c r="A10" s="3176" t="s">
        <v>3370</v>
      </c>
      <c r="B10" s="3177">
        <v>2022</v>
      </c>
      <c r="C10" s="3178">
        <v>3</v>
      </c>
      <c r="D10" s="3179">
        <v>0.66</v>
      </c>
      <c r="E10" s="3179">
        <v>0.32</v>
      </c>
      <c r="F10" s="3179">
        <v>0.23</v>
      </c>
      <c r="G10" s="3179">
        <v>0.72</v>
      </c>
      <c r="H10" s="3196">
        <v>0.63</v>
      </c>
      <c r="I10" s="3180">
        <f t="shared" si="0"/>
        <v>0.23</v>
      </c>
      <c r="J10" s="3181"/>
      <c r="K10" s="3182">
        <f t="shared" si="1"/>
        <v>6.6E-3</v>
      </c>
      <c r="L10" s="3172">
        <f t="shared" si="1"/>
        <v>3.2000000000000002E-3</v>
      </c>
      <c r="M10" s="3172">
        <f t="shared" si="1"/>
        <v>2.3E-3</v>
      </c>
      <c r="N10" s="3172">
        <f t="shared" si="1"/>
        <v>7.1999999999999998E-3</v>
      </c>
      <c r="O10" s="3172">
        <f t="shared" si="1"/>
        <v>6.3E-3</v>
      </c>
      <c r="P10" s="3172">
        <f t="shared" si="4"/>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5"/>
        <v>1.0134000000000001</v>
      </c>
      <c r="X10" s="3181"/>
      <c r="Y10" s="3184">
        <f>IF(D10=0,0,ROUND(AVERAGE(D10:D16)/100,4))</f>
        <v>8.3999999999999995E-3</v>
      </c>
      <c r="Z10" s="3184">
        <f>IF(E10=0,0,ROUND(AVERAGE(E10:E16)/100,4))</f>
        <v>3.5000000000000001E-3</v>
      </c>
      <c r="AA10" s="3184">
        <f>IF(F10=0,0,ROUND(AVERAGE(F10:F16)/100,4))</f>
        <v>1.5E-3</v>
      </c>
      <c r="AB10" s="3184">
        <f>IF(G10=0,0,ROUND(AVERAGE(G10:G16)/100,4))</f>
        <v>9.1999999999999998E-3</v>
      </c>
      <c r="AC10" s="3184">
        <f>IF(H10=0,0,ROUND(AVERAGE(H10:H16)/100,4))</f>
        <v>6.7999999999999996E-3</v>
      </c>
      <c r="AD10" s="3184">
        <f t="shared" si="2"/>
        <v>1.5E-3</v>
      </c>
    </row>
    <row r="11" spans="1:30" s="3185" customFormat="1" ht="12.75">
      <c r="A11" s="3176" t="s">
        <v>3361</v>
      </c>
      <c r="B11" s="3177">
        <v>2022</v>
      </c>
      <c r="C11" s="3178">
        <v>2</v>
      </c>
      <c r="D11" s="3179">
        <v>0.93</v>
      </c>
      <c r="E11" s="3179">
        <v>0.15</v>
      </c>
      <c r="F11" s="3179">
        <v>0.01</v>
      </c>
      <c r="G11" s="3179">
        <v>1.05</v>
      </c>
      <c r="H11" s="3196">
        <v>1.08</v>
      </c>
      <c r="I11" s="3180">
        <f t="shared" si="0"/>
        <v>0.01</v>
      </c>
      <c r="J11" s="3181"/>
      <c r="K11" s="3182">
        <f t="shared" si="1"/>
        <v>9.300000000000001E-3</v>
      </c>
      <c r="L11" s="3172">
        <f t="shared" si="1"/>
        <v>1.5E-3</v>
      </c>
      <c r="M11" s="3172">
        <f t="shared" si="1"/>
        <v>1E-4</v>
      </c>
      <c r="N11" s="3172">
        <f t="shared" si="1"/>
        <v>1.0500000000000001E-2</v>
      </c>
      <c r="O11" s="3172">
        <f t="shared" si="1"/>
        <v>1.0800000000000001E-2</v>
      </c>
      <c r="P11" s="3172">
        <f t="shared" si="4"/>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5"/>
        <v>1.0109999999999999</v>
      </c>
      <c r="X11" s="3181"/>
      <c r="Y11" s="3184">
        <f>IF(D11=0,0,ROUND(AVERAGE(D11:D16)/100,4))</f>
        <v>8.6999999999999994E-3</v>
      </c>
      <c r="Z11" s="3184">
        <f>IF(E11=0,0,ROUND(AVERAGE(E11:E16)/100,4))</f>
        <v>3.5000000000000001E-3</v>
      </c>
      <c r="AA11" s="3184">
        <f>IF(F11=0,0,ROUND(AVERAGE(F11:F16)/100,4))</f>
        <v>1.4E-3</v>
      </c>
      <c r="AB11" s="3184">
        <f>IF(G11=0,0,ROUND(AVERAGE(G11:G16)/100,4))</f>
        <v>9.4999999999999998E-3</v>
      </c>
      <c r="AC11" s="3184">
        <f>IF(H11=0,0,ROUND(AVERAGE(H11:H16)/100,4))</f>
        <v>6.8999999999999999E-3</v>
      </c>
      <c r="AD11" s="3184">
        <f t="shared" si="2"/>
        <v>1.4E-3</v>
      </c>
    </row>
    <row r="12" spans="1:30" s="3185" customFormat="1" ht="12.75">
      <c r="A12" s="3176" t="s">
        <v>2824</v>
      </c>
      <c r="B12" s="3177">
        <v>2022</v>
      </c>
      <c r="C12" s="3178">
        <v>1</v>
      </c>
      <c r="D12" s="3179">
        <v>0.89</v>
      </c>
      <c r="E12" s="3179">
        <v>0.44</v>
      </c>
      <c r="F12" s="3179">
        <v>0.37</v>
      </c>
      <c r="G12" s="3179">
        <v>0.96</v>
      </c>
      <c r="H12" s="3196">
        <v>0.64</v>
      </c>
      <c r="I12" s="3180">
        <f t="shared" si="0"/>
        <v>0.37</v>
      </c>
      <c r="J12" s="3181"/>
      <c r="K12" s="3182">
        <f t="shared" si="1"/>
        <v>8.8999999999999999E-3</v>
      </c>
      <c r="L12" s="3172">
        <f t="shared" si="1"/>
        <v>4.4000000000000003E-3</v>
      </c>
      <c r="M12" s="3172">
        <f t="shared" si="1"/>
        <v>3.7000000000000002E-3</v>
      </c>
      <c r="N12" s="3172">
        <f t="shared" si="1"/>
        <v>9.5999999999999992E-3</v>
      </c>
      <c r="O12" s="3172">
        <f t="shared" si="1"/>
        <v>6.4000000000000003E-3</v>
      </c>
      <c r="P12" s="3172">
        <f t="shared" si="4"/>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5"/>
        <v>1.0108999999999999</v>
      </c>
      <c r="X12" s="3181"/>
      <c r="Y12" s="3184">
        <f>IF(D12=0,0,ROUND(AVERAGE(D12:D16)/100,4))</f>
        <v>8.6E-3</v>
      </c>
      <c r="Z12" s="3184">
        <f>IF(E12=0,0,ROUND(AVERAGE(E12:E16)/100,4))</f>
        <v>3.8999999999999998E-3</v>
      </c>
      <c r="AA12" s="3184">
        <f>IF(F12=0,0,ROUND(AVERAGE(F12:F16)/100,4))</f>
        <v>1.6999999999999999E-3</v>
      </c>
      <c r="AB12" s="3184">
        <f>IF(G12=0,0,ROUND(AVERAGE(G12:G16)/100,4))</f>
        <v>9.2999999999999992E-3</v>
      </c>
      <c r="AC12" s="3184">
        <f>IF(H12=0,0,ROUND(AVERAGE(H12:H16)/100,4))</f>
        <v>6.1000000000000004E-3</v>
      </c>
      <c r="AD12" s="3184">
        <f t="shared" si="2"/>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0"/>
        <v>7.0000000000000007E-2</v>
      </c>
      <c r="J13" s="3181"/>
      <c r="K13" s="3182">
        <f t="shared" si="1"/>
        <v>1.03E-2</v>
      </c>
      <c r="L13" s="3172">
        <f t="shared" si="1"/>
        <v>2.3999999999999998E-3</v>
      </c>
      <c r="M13" s="3172">
        <f t="shared" si="1"/>
        <v>7.000000000000001E-4</v>
      </c>
      <c r="N13" s="3172">
        <f t="shared" si="1"/>
        <v>1.1699999999999999E-2</v>
      </c>
      <c r="O13" s="3172">
        <f t="shared" si="1"/>
        <v>5.5000000000000005E-3</v>
      </c>
      <c r="P13" s="3172">
        <f t="shared" si="4"/>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5"/>
        <v>1.0072000000000001</v>
      </c>
      <c r="X13" s="3181"/>
      <c r="Y13" s="3184">
        <f>IF(D13=0,0,ROUND(AVERAGE(D13:D16)/100,4))</f>
        <v>8.5000000000000006E-3</v>
      </c>
      <c r="Z13" s="3184">
        <f>IF(E13=0,0,ROUND(AVERAGE(E13:E16)/100,4))</f>
        <v>3.8E-3</v>
      </c>
      <c r="AA13" s="3184">
        <f>IF(F13=0,0,ROUND(AVERAGE(F13:F16)/100,4))</f>
        <v>1.1999999999999999E-3</v>
      </c>
      <c r="AB13" s="3184">
        <f>IF(G13=0,0,ROUND(AVERAGE(G13:G16)/100,4))</f>
        <v>9.2999999999999992E-3</v>
      </c>
      <c r="AC13" s="3184">
        <f>IF(H13=0,0,ROUND(AVERAGE(H13:H16)/100,4))</f>
        <v>6.0000000000000001E-3</v>
      </c>
      <c r="AD13" s="3184">
        <f t="shared" si="2"/>
        <v>1.1999999999999999E-3</v>
      </c>
    </row>
    <row r="14" spans="1:30" s="3185" customFormat="1" ht="12.75">
      <c r="A14" s="3176" t="s">
        <v>2826</v>
      </c>
      <c r="B14" s="3177">
        <v>2021</v>
      </c>
      <c r="C14" s="3178">
        <v>3</v>
      </c>
      <c r="D14" s="3179">
        <v>0.47</v>
      </c>
      <c r="E14" s="3179">
        <v>0.41</v>
      </c>
      <c r="F14" s="3179">
        <v>0.24</v>
      </c>
      <c r="G14" s="3179">
        <v>0.48</v>
      </c>
      <c r="H14" s="3196">
        <v>0.48</v>
      </c>
      <c r="I14" s="3180">
        <f t="shared" si="0"/>
        <v>0.24</v>
      </c>
      <c r="J14" s="3181"/>
      <c r="K14" s="3182">
        <f t="shared" si="1"/>
        <v>4.6999999999999993E-3</v>
      </c>
      <c r="L14" s="3172">
        <f t="shared" si="1"/>
        <v>4.0999999999999995E-3</v>
      </c>
      <c r="M14" s="3172">
        <f t="shared" si="1"/>
        <v>2.3999999999999998E-3</v>
      </c>
      <c r="N14" s="3172">
        <f t="shared" si="1"/>
        <v>4.7999999999999996E-3</v>
      </c>
      <c r="O14" s="3172">
        <f t="shared" si="1"/>
        <v>4.7999999999999996E-3</v>
      </c>
      <c r="P14" s="3172">
        <f t="shared" si="4"/>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5"/>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2"/>
        <v>1.2999999999999999E-3</v>
      </c>
    </row>
    <row r="15" spans="1:30" s="3185" customFormat="1" ht="12.75">
      <c r="A15" s="3176" t="s">
        <v>2827</v>
      </c>
      <c r="B15" s="3177">
        <v>2021</v>
      </c>
      <c r="C15" s="3178">
        <v>2</v>
      </c>
      <c r="D15" s="3179">
        <v>0.92</v>
      </c>
      <c r="E15" s="3179">
        <v>0.72</v>
      </c>
      <c r="F15" s="3179">
        <v>0.41</v>
      </c>
      <c r="G15" s="3179">
        <v>0.95</v>
      </c>
      <c r="H15" s="3196">
        <v>1.01</v>
      </c>
      <c r="I15" s="3180">
        <f t="shared" si="0"/>
        <v>0.41</v>
      </c>
      <c r="J15" s="3181"/>
      <c r="K15" s="3182">
        <f t="shared" si="1"/>
        <v>9.1999999999999998E-3</v>
      </c>
      <c r="L15" s="3172">
        <f t="shared" si="1"/>
        <v>7.1999999999999998E-3</v>
      </c>
      <c r="M15" s="3172">
        <f t="shared" si="1"/>
        <v>4.0999999999999995E-3</v>
      </c>
      <c r="N15" s="3172">
        <f t="shared" si="1"/>
        <v>9.4999999999999998E-3</v>
      </c>
      <c r="O15" s="3172">
        <f t="shared" si="1"/>
        <v>1.01E-2</v>
      </c>
      <c r="P15" s="3172">
        <f t="shared" si="4"/>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5"/>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2"/>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0"/>
        <v>-0.25</v>
      </c>
      <c r="J16" s="3203"/>
      <c r="K16" s="3204">
        <f t="shared" si="1"/>
        <v>9.7000000000000003E-3</v>
      </c>
      <c r="L16" s="3205">
        <f t="shared" si="1"/>
        <v>1.6000000000000001E-3</v>
      </c>
      <c r="M16" s="3205">
        <f>F16/100</f>
        <v>-2.5000000000000001E-3</v>
      </c>
      <c r="N16" s="3205">
        <f t="shared" si="1"/>
        <v>1.11E-2</v>
      </c>
      <c r="O16" s="3205">
        <f t="shared" si="1"/>
        <v>3.5999999999999999E-3</v>
      </c>
      <c r="P16" s="3205">
        <f t="shared" si="4"/>
        <v>-2.5000000000000001E-3</v>
      </c>
      <c r="Q16" s="3203"/>
      <c r="R16" s="3206">
        <v>1</v>
      </c>
      <c r="S16" s="3206">
        <v>1</v>
      </c>
      <c r="T16" s="3206">
        <v>1</v>
      </c>
      <c r="U16" s="3206">
        <v>1</v>
      </c>
      <c r="V16" s="3206">
        <v>1</v>
      </c>
      <c r="W16" s="3206">
        <f t="shared" si="5"/>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0" t="s">
        <v>2832</v>
      </c>
      <c r="S21" s="3781"/>
      <c r="T21" s="3781"/>
      <c r="U21" s="3781"/>
      <c r="V21" s="3781"/>
      <c r="W21" s="3781"/>
      <c r="X21" s="3165"/>
      <c r="Y21" s="3780" t="s">
        <v>2833</v>
      </c>
      <c r="Z21" s="3781"/>
      <c r="AA21" s="3781"/>
      <c r="AB21" s="3781"/>
      <c r="AC21" s="3781"/>
      <c r="AD21" s="378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ROUND(AVERAGEIF(E24:E36,"&lt;&gt;0"),2)</f>
        <v>0.42</v>
      </c>
      <c r="F23" s="3151">
        <f>ROUND(AVERAGEIF(F24:F36,"&lt;&gt;0"),2)</f>
        <v>0.32</v>
      </c>
      <c r="G23" s="3151">
        <f>ROUND(AVERAGEIF(G24:G36,"&lt;&gt;0"),2)</f>
        <v>0.75</v>
      </c>
      <c r="H23" s="3151"/>
      <c r="I23" s="3151">
        <f>F23</f>
        <v>0.32</v>
      </c>
      <c r="J23" s="3152"/>
      <c r="K23" s="3153"/>
      <c r="L23" s="3154">
        <f>ROUND(AVERAGEIF(L24:L36,"&lt;&gt;0"),4)</f>
        <v>4.1999999999999997E-3</v>
      </c>
      <c r="M23" s="3154">
        <f>ROUND(AVERAGEIF(M24:M36,"&lt;&gt;0"),4)</f>
        <v>3.2000000000000002E-3</v>
      </c>
      <c r="N23" s="3154">
        <f>ROUND(AVERAGEIF(N24:N36,"&lt;&gt;0"),4)</f>
        <v>7.4999999999999997E-3</v>
      </c>
      <c r="O23" s="3154"/>
      <c r="P23" s="3154">
        <f>M23</f>
        <v>3.2000000000000002E-3</v>
      </c>
      <c r="Q23" s="3152"/>
      <c r="R23" s="3155"/>
      <c r="S23" s="3156">
        <f>ROUND(SUMPRODUCT(PRODUCT(1+L24:L36)),4)</f>
        <v>1.0431999999999999</v>
      </c>
      <c r="T23" s="3156">
        <f>ROUND(SUMPRODUCT(PRODUCT(1+M24:M36)),4)</f>
        <v>1.0319</v>
      </c>
      <c r="U23" s="3156">
        <f>ROUND(SUMPRODUCT(PRODUCT(1+N24:N36)),4)</f>
        <v>1.0771999999999999</v>
      </c>
      <c r="V23" s="3156"/>
      <c r="W23" s="3155">
        <f>T23</f>
        <v>1.0319</v>
      </c>
      <c r="X23" s="3152"/>
      <c r="Y23" s="3157"/>
      <c r="Z23" s="3158">
        <f>ROUND(AVERAGEIF(Z24:Z36,"&lt;&gt;0"),4)</f>
        <v>4.3E-3</v>
      </c>
      <c r="AA23" s="3159">
        <f>ROUND(AVERAGEIF(AA24:AA36,"&lt;&gt;0"),4)</f>
        <v>3.5999999999999999E-3</v>
      </c>
      <c r="AB23" s="3157">
        <f>ROUND(AVERAGEIF(AB24:AB36,"&lt;&gt;0"),4)</f>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6">F25</f>
        <v>0</v>
      </c>
      <c r="J25" s="3181"/>
      <c r="K25" s="3182"/>
      <c r="L25" s="3172">
        <f t="shared" ref="L25:N36" si="7">E25/100</f>
        <v>0</v>
      </c>
      <c r="M25" s="3172">
        <f t="shared" si="7"/>
        <v>0</v>
      </c>
      <c r="N25" s="3172">
        <f t="shared" si="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6"/>
        <v>0</v>
      </c>
      <c r="J26" s="3181"/>
      <c r="K26" s="3182"/>
      <c r="L26" s="3172">
        <f t="shared" ref="L26:N28" si="8">E26/100</f>
        <v>0</v>
      </c>
      <c r="M26" s="3172">
        <f t="shared" si="8"/>
        <v>0</v>
      </c>
      <c r="N26" s="3172">
        <f t="shared" si="8"/>
        <v>0</v>
      </c>
      <c r="O26" s="3172"/>
      <c r="P26" s="3172">
        <f>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6"/>
        <v>0.45</v>
      </c>
      <c r="J27" s="3192"/>
      <c r="K27" s="3193"/>
      <c r="L27" s="3194">
        <f t="shared" si="8"/>
        <v>5.0000000000000001E-3</v>
      </c>
      <c r="M27" s="3194">
        <f t="shared" si="8"/>
        <v>4.5000000000000005E-3</v>
      </c>
      <c r="N27" s="3194">
        <f t="shared" si="8"/>
        <v>8.8999999999999999E-3</v>
      </c>
      <c r="O27" s="3194"/>
      <c r="P27" s="3194">
        <f>M27</f>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T27</f>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6"/>
        <v>0.59</v>
      </c>
      <c r="J28" s="3181"/>
      <c r="K28" s="3182"/>
      <c r="L28" s="3172">
        <f t="shared" si="8"/>
        <v>5.5000000000000005E-3</v>
      </c>
      <c r="M28" s="3172">
        <f t="shared" si="8"/>
        <v>5.8999999999999999E-3</v>
      </c>
      <c r="N28" s="3172">
        <f t="shared" si="8"/>
        <v>6.4000000000000003E-3</v>
      </c>
      <c r="O28" s="3172"/>
      <c r="P28" s="3172">
        <f>M28</f>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T28</f>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6"/>
        <v>0.2</v>
      </c>
      <c r="J29" s="3181"/>
      <c r="K29" s="3182"/>
      <c r="L29" s="3172">
        <f t="shared" si="7"/>
        <v>4.5000000000000005E-3</v>
      </c>
      <c r="M29" s="3172">
        <f t="shared" si="7"/>
        <v>2E-3</v>
      </c>
      <c r="N29" s="3172">
        <f t="shared" si="7"/>
        <v>3.8E-3</v>
      </c>
      <c r="O29" s="3172"/>
      <c r="P29" s="3172">
        <f t="shared" ref="P29:P36" si="9">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10">T29</f>
        <v>1.0164</v>
      </c>
      <c r="X29" s="3181"/>
      <c r="Y29" s="3184"/>
      <c r="Z29" s="3212">
        <f t="shared" ref="Z29:AD36" si="11">IF(E29=0,0,ROUND(AVERAGE(E29:E37)/100,4))</f>
        <v>4.0000000000000001E-3</v>
      </c>
      <c r="AA29" s="3214">
        <f t="shared" si="11"/>
        <v>2.5999999999999999E-3</v>
      </c>
      <c r="AB29" s="3184">
        <f t="shared" si="11"/>
        <v>7.4000000000000003E-3</v>
      </c>
      <c r="AC29" s="3213"/>
      <c r="AD29" s="3184">
        <f t="shared" si="11"/>
        <v>2.5999999999999999E-3</v>
      </c>
    </row>
    <row r="30" spans="1:30" s="3185" customFormat="1" ht="12.75">
      <c r="A30" s="3176" t="s">
        <v>3371</v>
      </c>
      <c r="B30" s="3177">
        <v>2022</v>
      </c>
      <c r="C30" s="3178">
        <v>3</v>
      </c>
      <c r="D30" s="3179"/>
      <c r="E30" s="3179">
        <v>0.3</v>
      </c>
      <c r="F30" s="3179">
        <v>0.28999999999999998</v>
      </c>
      <c r="G30" s="3179">
        <v>0.83</v>
      </c>
      <c r="H30" s="3196"/>
      <c r="I30" s="3180">
        <f t="shared" si="6"/>
        <v>0.28999999999999998</v>
      </c>
      <c r="J30" s="3181"/>
      <c r="K30" s="3182"/>
      <c r="L30" s="3172">
        <f t="shared" si="7"/>
        <v>3.0000000000000001E-3</v>
      </c>
      <c r="M30" s="3172">
        <f t="shared" si="7"/>
        <v>2.8999999999999998E-3</v>
      </c>
      <c r="N30" s="3172">
        <f t="shared" si="7"/>
        <v>8.3000000000000001E-3</v>
      </c>
      <c r="O30" s="3172"/>
      <c r="P30" s="3172">
        <f t="shared" si="9"/>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10"/>
        <v>1.0144</v>
      </c>
      <c r="X30" s="3181"/>
      <c r="Y30" s="3184"/>
      <c r="Z30" s="3212">
        <f t="shared" si="11"/>
        <v>3.8999999999999998E-3</v>
      </c>
      <c r="AA30" s="3214">
        <f t="shared" si="11"/>
        <v>2.7000000000000001E-3</v>
      </c>
      <c r="AB30" s="3184">
        <f t="shared" si="11"/>
        <v>7.9000000000000008E-3</v>
      </c>
      <c r="AC30" s="3213"/>
      <c r="AD30" s="3184">
        <f t="shared" si="11"/>
        <v>2.7000000000000001E-3</v>
      </c>
    </row>
    <row r="31" spans="1:30" s="3185" customFormat="1" ht="12.75">
      <c r="A31" s="3176" t="s">
        <v>3361</v>
      </c>
      <c r="B31" s="3177">
        <v>2022</v>
      </c>
      <c r="C31" s="3178">
        <v>2</v>
      </c>
      <c r="D31" s="3179"/>
      <c r="E31" s="3179">
        <v>-0.11</v>
      </c>
      <c r="F31" s="3179">
        <v>-0.13</v>
      </c>
      <c r="G31" s="3179">
        <v>0.53</v>
      </c>
      <c r="H31" s="3196"/>
      <c r="I31" s="3180">
        <f t="shared" si="6"/>
        <v>-0.13</v>
      </c>
      <c r="J31" s="3181"/>
      <c r="K31" s="3182"/>
      <c r="L31" s="3172">
        <f t="shared" si="7"/>
        <v>-1.1000000000000001E-3</v>
      </c>
      <c r="M31" s="3172">
        <f t="shared" si="7"/>
        <v>-1.2999999999999999E-3</v>
      </c>
      <c r="N31" s="3172">
        <f t="shared" si="7"/>
        <v>5.3E-3</v>
      </c>
      <c r="O31" s="3172"/>
      <c r="P31" s="3172">
        <f t="shared" si="9"/>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10"/>
        <v>1.0114000000000001</v>
      </c>
      <c r="X31" s="3181"/>
      <c r="Y31" s="3184"/>
      <c r="Z31" s="3212">
        <f t="shared" si="11"/>
        <v>4.1000000000000003E-3</v>
      </c>
      <c r="AA31" s="3214">
        <f t="shared" si="11"/>
        <v>2.7000000000000001E-3</v>
      </c>
      <c r="AB31" s="3184">
        <f t="shared" si="11"/>
        <v>7.9000000000000008E-3</v>
      </c>
      <c r="AC31" s="3213"/>
      <c r="AD31" s="3184">
        <f t="shared" si="11"/>
        <v>2.7000000000000001E-3</v>
      </c>
    </row>
    <row r="32" spans="1:30" s="3185" customFormat="1" ht="12.75">
      <c r="A32" s="3176" t="s">
        <v>2840</v>
      </c>
      <c r="B32" s="3177">
        <v>2022</v>
      </c>
      <c r="C32" s="3178">
        <v>1</v>
      </c>
      <c r="D32" s="3179"/>
      <c r="E32" s="3179">
        <v>0.6</v>
      </c>
      <c r="F32" s="3179">
        <v>0.45</v>
      </c>
      <c r="G32" s="3179">
        <v>0.53</v>
      </c>
      <c r="H32" s="3196"/>
      <c r="I32" s="3180">
        <f t="shared" si="6"/>
        <v>0.45</v>
      </c>
      <c r="J32" s="3181"/>
      <c r="K32" s="3182"/>
      <c r="L32" s="3172">
        <f t="shared" si="7"/>
        <v>6.0000000000000001E-3</v>
      </c>
      <c r="M32" s="3172">
        <f t="shared" si="7"/>
        <v>4.5000000000000005E-3</v>
      </c>
      <c r="N32" s="3172">
        <f t="shared" si="7"/>
        <v>5.3E-3</v>
      </c>
      <c r="O32" s="3172"/>
      <c r="P32" s="3172">
        <f t="shared" si="9"/>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10"/>
        <v>1.0127999999999999</v>
      </c>
      <c r="X32" s="3181"/>
      <c r="Y32" s="3184"/>
      <c r="Z32" s="3212">
        <f t="shared" si="11"/>
        <v>5.1000000000000004E-3</v>
      </c>
      <c r="AA32" s="3214">
        <f t="shared" si="11"/>
        <v>3.5000000000000001E-3</v>
      </c>
      <c r="AB32" s="3184">
        <f t="shared" si="11"/>
        <v>8.3999999999999995E-3</v>
      </c>
      <c r="AC32" s="3213"/>
      <c r="AD32" s="3184">
        <f t="shared" si="11"/>
        <v>3.5000000000000001E-3</v>
      </c>
    </row>
    <row r="33" spans="1:30" s="3185" customFormat="1" ht="12.75">
      <c r="A33" s="3176" t="s">
        <v>2841</v>
      </c>
      <c r="B33" s="3177">
        <v>2021</v>
      </c>
      <c r="C33" s="3178">
        <v>4</v>
      </c>
      <c r="D33" s="3179"/>
      <c r="E33" s="3179">
        <v>0.57999999999999996</v>
      </c>
      <c r="F33" s="3179">
        <v>0.08</v>
      </c>
      <c r="G33" s="3179">
        <v>0.68</v>
      </c>
      <c r="H33" s="3196"/>
      <c r="I33" s="3180">
        <f t="shared" si="6"/>
        <v>0.08</v>
      </c>
      <c r="J33" s="3181"/>
      <c r="K33" s="3182"/>
      <c r="L33" s="3172">
        <f t="shared" si="7"/>
        <v>5.7999999999999996E-3</v>
      </c>
      <c r="M33" s="3172">
        <f t="shared" si="7"/>
        <v>8.0000000000000004E-4</v>
      </c>
      <c r="N33" s="3172">
        <f t="shared" si="7"/>
        <v>6.8000000000000005E-3</v>
      </c>
      <c r="O33" s="3172"/>
      <c r="P33" s="3172">
        <f t="shared" si="9"/>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10"/>
        <v>1.0082</v>
      </c>
      <c r="X33" s="3181"/>
      <c r="Y33" s="3184"/>
      <c r="Z33" s="3212">
        <f t="shared" si="11"/>
        <v>4.8999999999999998E-3</v>
      </c>
      <c r="AA33" s="3214">
        <f t="shared" si="11"/>
        <v>3.3E-3</v>
      </c>
      <c r="AB33" s="3184">
        <f t="shared" si="11"/>
        <v>9.1999999999999998E-3</v>
      </c>
      <c r="AC33" s="3213"/>
      <c r="AD33" s="3184">
        <f t="shared" si="11"/>
        <v>3.3E-3</v>
      </c>
    </row>
    <row r="34" spans="1:30" s="3185" customFormat="1" ht="12.75">
      <c r="A34" s="3176" t="s">
        <v>2842</v>
      </c>
      <c r="B34" s="3177">
        <v>2021</v>
      </c>
      <c r="C34" s="3178">
        <v>3</v>
      </c>
      <c r="D34" s="3179"/>
      <c r="E34" s="3179">
        <v>0.47</v>
      </c>
      <c r="F34" s="3179">
        <v>0.28000000000000003</v>
      </c>
      <c r="G34" s="3179">
        <v>0.91</v>
      </c>
      <c r="H34" s="3196"/>
      <c r="I34" s="3180">
        <f t="shared" si="6"/>
        <v>0.28000000000000003</v>
      </c>
      <c r="J34" s="3181"/>
      <c r="K34" s="3182"/>
      <c r="L34" s="3172">
        <f t="shared" si="7"/>
        <v>4.6999999999999993E-3</v>
      </c>
      <c r="M34" s="3172">
        <f t="shared" si="7"/>
        <v>2.8000000000000004E-3</v>
      </c>
      <c r="N34" s="3172">
        <f t="shared" si="7"/>
        <v>9.1000000000000004E-3</v>
      </c>
      <c r="O34" s="3172"/>
      <c r="P34" s="3172">
        <f t="shared" si="9"/>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10"/>
        <v>1.0074000000000001</v>
      </c>
      <c r="X34" s="3181"/>
      <c r="Y34" s="3184"/>
      <c r="Z34" s="3212">
        <f t="shared" si="11"/>
        <v>4.5999999999999999E-3</v>
      </c>
      <c r="AA34" s="3214">
        <f t="shared" si="11"/>
        <v>4.1000000000000003E-3</v>
      </c>
      <c r="AB34" s="3184">
        <f t="shared" si="11"/>
        <v>0.01</v>
      </c>
      <c r="AC34" s="3213"/>
      <c r="AD34" s="3184">
        <f t="shared" si="11"/>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6"/>
        <v>0.46</v>
      </c>
      <c r="J35" s="3181"/>
      <c r="K35" s="3182"/>
      <c r="L35" s="3172">
        <f t="shared" si="7"/>
        <v>5.5000000000000005E-3</v>
      </c>
      <c r="M35" s="3172">
        <f t="shared" si="7"/>
        <v>4.5999999999999999E-3</v>
      </c>
      <c r="N35" s="3172">
        <f t="shared" si="7"/>
        <v>1.1000000000000001E-2</v>
      </c>
      <c r="O35" s="3172"/>
      <c r="P35" s="3172">
        <f t="shared" si="9"/>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10"/>
        <v>1.0045999999999999</v>
      </c>
      <c r="X35" s="3181"/>
      <c r="Y35" s="3184"/>
      <c r="Z35" s="3212">
        <f t="shared" si="11"/>
        <v>4.4999999999999997E-3</v>
      </c>
      <c r="AA35" s="3214">
        <f t="shared" si="11"/>
        <v>4.7000000000000002E-3</v>
      </c>
      <c r="AB35" s="3184">
        <f t="shared" si="11"/>
        <v>1.04E-2</v>
      </c>
      <c r="AC35" s="3213"/>
      <c r="AD35" s="3184">
        <f t="shared" si="11"/>
        <v>4.7000000000000002E-3</v>
      </c>
    </row>
    <row r="36" spans="1:30" s="3207" customFormat="1" thickBot="1">
      <c r="A36" s="3197" t="s">
        <v>2828</v>
      </c>
      <c r="B36" s="3198">
        <v>2021</v>
      </c>
      <c r="C36" s="3199">
        <v>1</v>
      </c>
      <c r="D36" s="3200"/>
      <c r="E36" s="3200">
        <v>0.35</v>
      </c>
      <c r="F36" s="3200">
        <v>0.48</v>
      </c>
      <c r="G36" s="3200">
        <v>0.98</v>
      </c>
      <c r="H36" s="3201"/>
      <c r="I36" s="3202">
        <f t="shared" si="6"/>
        <v>0.48</v>
      </c>
      <c r="J36" s="3203"/>
      <c r="K36" s="3204"/>
      <c r="L36" s="3205">
        <f t="shared" si="7"/>
        <v>3.4999999999999996E-3</v>
      </c>
      <c r="M36" s="3205">
        <f>F36/100</f>
        <v>4.7999999999999996E-3</v>
      </c>
      <c r="N36" s="3205">
        <f t="shared" si="7"/>
        <v>9.7999999999999997E-3</v>
      </c>
      <c r="O36" s="3205"/>
      <c r="P36" s="3205">
        <f t="shared" si="9"/>
        <v>4.7999999999999996E-3</v>
      </c>
      <c r="Q36" s="3203"/>
      <c r="R36" s="3206"/>
      <c r="S36" s="3206">
        <v>1</v>
      </c>
      <c r="T36" s="3206">
        <v>1</v>
      </c>
      <c r="U36" s="3206">
        <v>1</v>
      </c>
      <c r="V36" s="3206"/>
      <c r="W36" s="3206">
        <f t="shared" si="10"/>
        <v>1</v>
      </c>
      <c r="X36" s="3203"/>
      <c r="Y36" s="3205"/>
      <c r="Z36" s="3218">
        <f t="shared" si="11"/>
        <v>3.5000000000000001E-3</v>
      </c>
      <c r="AA36" s="3219">
        <f t="shared" si="11"/>
        <v>4.7999999999999996E-3</v>
      </c>
      <c r="AB36" s="3205">
        <f t="shared" si="11"/>
        <v>9.7999999999999997E-3</v>
      </c>
      <c r="AC36" s="3220"/>
      <c r="AD36" s="3205">
        <f t="shared" si="11"/>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B24" si="0">B6*(1+N5)</f>
        <v>510.07089659554606</v>
      </c>
      <c r="C5" s="2206">
        <f t="shared" ref="C5:C24" si="1">C6*(1+O5)</f>
        <v>352.55593185737411</v>
      </c>
      <c r="D5" s="2206">
        <f t="shared" ref="D5:D29" si="2">C5</f>
        <v>352.55593185737411</v>
      </c>
      <c r="E5" s="2206">
        <f t="shared" ref="E5:E24" si="3">E6*(1+P5)</f>
        <v>737.27992463403655</v>
      </c>
      <c r="F5" s="2206">
        <f t="shared" ref="F5:F24" si="4">F6*(1+Q5)</f>
        <v>335.88319198297864</v>
      </c>
      <c r="G5" s="3436">
        <v>2022</v>
      </c>
      <c r="H5" s="2207">
        <v>1</v>
      </c>
      <c r="I5" s="2169">
        <v>0</v>
      </c>
      <c r="J5" s="2169">
        <v>0</v>
      </c>
      <c r="K5" s="2169">
        <v>0</v>
      </c>
      <c r="L5" s="2170">
        <v>0</v>
      </c>
      <c r="M5" s="2192"/>
      <c r="N5" s="2208">
        <f t="shared" ref="N5:N16" si="5">I5/100</f>
        <v>0</v>
      </c>
      <c r="O5" s="2193">
        <f t="shared" ref="O5:O16" si="6">J5/100</f>
        <v>0</v>
      </c>
      <c r="P5" s="2193">
        <f t="shared" ref="P5:P16" si="7">K5/100</f>
        <v>0</v>
      </c>
      <c r="Q5" s="2193">
        <f t="shared" ref="Q5:Q16" si="8">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Z39" si="9">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AF40" si="10">AE5</f>
        <v>9.7000000000000003E-3</v>
      </c>
      <c r="AG5" s="2211">
        <f>ROUND(AVERAGE(K5:K$40)/100,4)</f>
        <v>1.66E-2</v>
      </c>
      <c r="AH5" s="2211">
        <f>ROUND(AVERAGE(L5:L$40)/100,4)</f>
        <v>1.0999999999999999E-2</v>
      </c>
    </row>
    <row r="6" spans="1:34" s="2199" customFormat="1">
      <c r="A6" s="2194" t="s">
        <v>3366</v>
      </c>
      <c r="B6" s="2195">
        <f t="shared" si="0"/>
        <v>510.07089659554606</v>
      </c>
      <c r="C6" s="2195">
        <f t="shared" si="1"/>
        <v>352.55593185737411</v>
      </c>
      <c r="D6" s="2195">
        <f t="shared" si="2"/>
        <v>352.55593185737411</v>
      </c>
      <c r="E6" s="2195">
        <f t="shared" si="3"/>
        <v>737.27992463403655</v>
      </c>
      <c r="F6" s="2195">
        <f t="shared" si="4"/>
        <v>335.88319198297864</v>
      </c>
      <c r="G6" s="3436">
        <v>2022</v>
      </c>
      <c r="H6" s="2197">
        <v>1</v>
      </c>
      <c r="I6" s="2198">
        <v>0</v>
      </c>
      <c r="J6" s="2198">
        <v>0</v>
      </c>
      <c r="K6" s="2198">
        <v>0</v>
      </c>
      <c r="L6" s="2198">
        <v>0</v>
      </c>
      <c r="N6" s="2200">
        <f t="shared" si="5"/>
        <v>0</v>
      </c>
      <c r="O6" s="2200">
        <f t="shared" si="6"/>
        <v>0</v>
      </c>
      <c r="P6" s="2200">
        <f t="shared" si="7"/>
        <v>0</v>
      </c>
      <c r="Q6" s="2200">
        <f t="shared" si="8"/>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si="9"/>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si="10"/>
        <v>0.01</v>
      </c>
      <c r="AG6" s="2204">
        <f>ROUND(AVERAGE(K6:K$40)/100,4)</f>
        <v>1.7100000000000001E-2</v>
      </c>
      <c r="AH6" s="2204">
        <f>ROUND(AVERAGE(L6:L$40)/100,4)</f>
        <v>1.1299999999999999E-2</v>
      </c>
    </row>
    <row r="7" spans="1:34" s="2212" customFormat="1">
      <c r="A7" s="2205" t="s">
        <v>3367</v>
      </c>
      <c r="B7" s="2206">
        <f t="shared" si="0"/>
        <v>510.07089659554606</v>
      </c>
      <c r="C7" s="2206">
        <f t="shared" si="1"/>
        <v>352.55593185737411</v>
      </c>
      <c r="D7" s="2206">
        <f t="shared" si="2"/>
        <v>352.55593185737411</v>
      </c>
      <c r="E7" s="2206">
        <f t="shared" si="3"/>
        <v>737.27992463403655</v>
      </c>
      <c r="F7" s="2206">
        <f t="shared" si="4"/>
        <v>335.88319198297864</v>
      </c>
      <c r="G7" s="3436">
        <v>2022</v>
      </c>
      <c r="H7" s="2207">
        <v>1</v>
      </c>
      <c r="I7" s="2169">
        <v>0</v>
      </c>
      <c r="J7" s="2169">
        <v>0</v>
      </c>
      <c r="K7" s="2169">
        <v>0</v>
      </c>
      <c r="L7" s="2170">
        <v>0</v>
      </c>
      <c r="M7" s="2192"/>
      <c r="N7" s="2208">
        <f t="shared" si="5"/>
        <v>0</v>
      </c>
      <c r="O7" s="2193">
        <f t="shared" si="6"/>
        <v>0</v>
      </c>
      <c r="P7" s="2193">
        <f t="shared" si="7"/>
        <v>0</v>
      </c>
      <c r="Q7" s="2193">
        <f t="shared" si="8"/>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si="9"/>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si="10"/>
        <v>1.03E-2</v>
      </c>
      <c r="AG7" s="2211">
        <f>ROUND(AVERAGE(K7:K$40)/100,4)</f>
        <v>1.7600000000000001E-2</v>
      </c>
      <c r="AH7" s="2211">
        <f>ROUND(AVERAGE(L7:L$40)/100,4)</f>
        <v>1.1599999999999999E-2</v>
      </c>
    </row>
    <row r="8" spans="1:34" s="2212" customFormat="1">
      <c r="A8" s="2205" t="s">
        <v>3368</v>
      </c>
      <c r="B8" s="2206">
        <f t="shared" si="0"/>
        <v>510.07089659554606</v>
      </c>
      <c r="C8" s="2206">
        <f t="shared" si="1"/>
        <v>352.55593185737411</v>
      </c>
      <c r="D8" s="2206">
        <f t="shared" si="2"/>
        <v>352.55593185737411</v>
      </c>
      <c r="E8" s="2206">
        <f t="shared" si="3"/>
        <v>737.27992463403655</v>
      </c>
      <c r="F8" s="2206">
        <f t="shared" si="4"/>
        <v>335.88319198297864</v>
      </c>
      <c r="G8" s="3436">
        <v>2022</v>
      </c>
      <c r="H8" s="2207">
        <v>1</v>
      </c>
      <c r="I8" s="2169"/>
      <c r="J8" s="2169"/>
      <c r="K8" s="2169">
        <v>0</v>
      </c>
      <c r="L8" s="2170">
        <v>0</v>
      </c>
      <c r="M8" s="2192"/>
      <c r="N8" s="2208">
        <f t="shared" si="5"/>
        <v>0</v>
      </c>
      <c r="O8" s="2193">
        <f t="shared" si="6"/>
        <v>0</v>
      </c>
      <c r="P8" s="2193">
        <f t="shared" si="7"/>
        <v>0</v>
      </c>
      <c r="Q8" s="2193">
        <f t="shared" si="8"/>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si="9"/>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si="10"/>
        <v>1.06E-2</v>
      </c>
      <c r="AG8" s="2211">
        <f>ROUND(AVERAGE(K8:K$40)/100,4)</f>
        <v>1.8100000000000002E-2</v>
      </c>
      <c r="AH8" s="2211">
        <f>ROUND(AVERAGE(L8:L$40)/100,4)</f>
        <v>1.2E-2</v>
      </c>
    </row>
    <row r="9" spans="1:34" s="2212" customFormat="1">
      <c r="A9" s="2205" t="s">
        <v>2440</v>
      </c>
      <c r="B9" s="2206">
        <f t="shared" si="0"/>
        <v>510.07089659554606</v>
      </c>
      <c r="C9" s="2206">
        <f t="shared" si="1"/>
        <v>352.55593185737411</v>
      </c>
      <c r="D9" s="2206">
        <f t="shared" si="2"/>
        <v>352.55593185737411</v>
      </c>
      <c r="E9" s="2206">
        <f t="shared" si="3"/>
        <v>737.27992463403655</v>
      </c>
      <c r="F9" s="2206">
        <f t="shared" si="4"/>
        <v>335.88319198297864</v>
      </c>
      <c r="G9" s="3005">
        <v>2021</v>
      </c>
      <c r="H9" s="2207">
        <v>4</v>
      </c>
      <c r="I9" s="2169">
        <v>1.03</v>
      </c>
      <c r="J9" s="2169">
        <v>0.24</v>
      </c>
      <c r="K9" s="2169">
        <v>1.17</v>
      </c>
      <c r="L9" s="2170">
        <v>0.55000000000000004</v>
      </c>
      <c r="M9" s="2192"/>
      <c r="N9" s="2208">
        <f t="shared" si="5"/>
        <v>1.03E-2</v>
      </c>
      <c r="O9" s="2193">
        <f t="shared" si="6"/>
        <v>2.3999999999999998E-3</v>
      </c>
      <c r="P9" s="2193">
        <f t="shared" si="7"/>
        <v>1.1699999999999999E-2</v>
      </c>
      <c r="Q9" s="2193">
        <f t="shared" si="8"/>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si="9"/>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si="10"/>
        <v>1.06E-2</v>
      </c>
      <c r="AG9" s="2211">
        <f>ROUND(AVERAGE(K9:K$40)/100,4)</f>
        <v>1.8700000000000001E-2</v>
      </c>
      <c r="AH9" s="2211">
        <f>ROUND(AVERAGE(L9:L$40)/100,4)</f>
        <v>1.24E-2</v>
      </c>
    </row>
    <row r="10" spans="1:34" s="2212" customFormat="1">
      <c r="A10" s="2205" t="s">
        <v>2317</v>
      </c>
      <c r="B10" s="2206">
        <f t="shared" si="0"/>
        <v>504.87072809615569</v>
      </c>
      <c r="C10" s="2206">
        <f t="shared" si="1"/>
        <v>351.71182348101968</v>
      </c>
      <c r="D10" s="2206">
        <f t="shared" si="2"/>
        <v>351.71182348101968</v>
      </c>
      <c r="E10" s="2206">
        <f t="shared" si="3"/>
        <v>728.75350858360832</v>
      </c>
      <c r="F10" s="2206">
        <f t="shared" si="4"/>
        <v>334.04593931673656</v>
      </c>
      <c r="G10" s="2830">
        <v>2021</v>
      </c>
      <c r="H10" s="2207">
        <v>3</v>
      </c>
      <c r="I10" s="2169">
        <v>0.47</v>
      </c>
      <c r="J10" s="2169">
        <v>0.41</v>
      </c>
      <c r="K10" s="2169">
        <v>0.48</v>
      </c>
      <c r="L10" s="2170">
        <v>0.48</v>
      </c>
      <c r="M10" s="2192"/>
      <c r="N10" s="2208">
        <f t="shared" si="5"/>
        <v>4.6999999999999993E-3</v>
      </c>
      <c r="O10" s="2193">
        <f t="shared" si="6"/>
        <v>4.0999999999999995E-3</v>
      </c>
      <c r="P10" s="2193">
        <f t="shared" si="7"/>
        <v>4.7999999999999996E-3</v>
      </c>
      <c r="Q10" s="2193">
        <f t="shared" si="8"/>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si="9"/>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si="10"/>
        <v>1.09E-2</v>
      </c>
      <c r="AG10" s="2211">
        <f>ROUND(AVERAGE(K10:K$40)/100,4)</f>
        <v>1.89E-2</v>
      </c>
      <c r="AH10" s="2211">
        <f>ROUND(AVERAGE(L10:L$40)/100,4)</f>
        <v>1.26E-2</v>
      </c>
    </row>
    <row r="11" spans="1:34" s="2212" customFormat="1">
      <c r="A11" s="2205" t="s">
        <v>2316</v>
      </c>
      <c r="B11" s="2206">
        <f t="shared" si="0"/>
        <v>502.50893609650217</v>
      </c>
      <c r="C11" s="2206">
        <f t="shared" si="1"/>
        <v>350.27569313914915</v>
      </c>
      <c r="D11" s="2206">
        <f t="shared" si="2"/>
        <v>350.27569313914915</v>
      </c>
      <c r="E11" s="2206">
        <f t="shared" si="3"/>
        <v>725.27220201394141</v>
      </c>
      <c r="F11" s="2206">
        <f t="shared" si="4"/>
        <v>332.45017846012797</v>
      </c>
      <c r="G11" s="2829">
        <v>2021</v>
      </c>
      <c r="H11" s="2207">
        <v>2</v>
      </c>
      <c r="I11" s="2169">
        <v>0.92</v>
      </c>
      <c r="J11" s="2169">
        <v>0.72</v>
      </c>
      <c r="K11" s="2169">
        <v>0.95</v>
      </c>
      <c r="L11" s="2170">
        <v>1.01</v>
      </c>
      <c r="M11" s="2192"/>
      <c r="N11" s="2208">
        <f t="shared" si="5"/>
        <v>9.1999999999999998E-3</v>
      </c>
      <c r="O11" s="2193">
        <f t="shared" si="6"/>
        <v>7.1999999999999998E-3</v>
      </c>
      <c r="P11" s="2193">
        <f t="shared" si="7"/>
        <v>9.4999999999999998E-3</v>
      </c>
      <c r="Q11" s="2193">
        <f t="shared" si="8"/>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si="9"/>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si="10"/>
        <v>1.11E-2</v>
      </c>
      <c r="AG11" s="2211">
        <f>ROUND(AVERAGE(K11:K$40)/100,4)</f>
        <v>1.9400000000000001E-2</v>
      </c>
      <c r="AH11" s="2211">
        <f>ROUND(AVERAGE(L11:L$40)/100,4)</f>
        <v>1.2800000000000001E-2</v>
      </c>
    </row>
    <row r="12" spans="1:34" s="2212" customFormat="1">
      <c r="A12" s="2205" t="s">
        <v>2315</v>
      </c>
      <c r="B12" s="2206">
        <f t="shared" si="0"/>
        <v>497.92799851020823</v>
      </c>
      <c r="C12" s="2206">
        <f t="shared" si="1"/>
        <v>347.77173663537445</v>
      </c>
      <c r="D12" s="2206">
        <f t="shared" si="2"/>
        <v>347.77173663537445</v>
      </c>
      <c r="E12" s="2206">
        <f t="shared" si="3"/>
        <v>718.44695593258189</v>
      </c>
      <c r="F12" s="2206">
        <f t="shared" si="4"/>
        <v>329.12600580153247</v>
      </c>
      <c r="G12" s="2813">
        <v>2021</v>
      </c>
      <c r="H12" s="2207">
        <v>1</v>
      </c>
      <c r="I12" s="2169">
        <v>0.97</v>
      </c>
      <c r="J12" s="2169">
        <v>0.16</v>
      </c>
      <c r="K12" s="2169">
        <v>1.1100000000000001</v>
      </c>
      <c r="L12" s="2170">
        <v>0.36</v>
      </c>
      <c r="M12" s="2192"/>
      <c r="N12" s="2208">
        <f t="shared" si="5"/>
        <v>9.7000000000000003E-3</v>
      </c>
      <c r="O12" s="2193">
        <f t="shared" si="6"/>
        <v>1.6000000000000001E-3</v>
      </c>
      <c r="P12" s="2193">
        <f t="shared" si="7"/>
        <v>1.11E-2</v>
      </c>
      <c r="Q12" s="2193">
        <f t="shared" si="8"/>
        <v>3.5999999999999999E-3</v>
      </c>
      <c r="R12" s="2209"/>
      <c r="S12" s="2208">
        <f>B12/B13-1</f>
        <v>9.7000000000000419E-3</v>
      </c>
      <c r="T12" s="2193">
        <f>C12/C13-1</f>
        <v>1.6000000000000458E-3</v>
      </c>
      <c r="U12" s="2193">
        <f>D12/D13-1</f>
        <v>1.6000000000000458E-3</v>
      </c>
      <c r="V12" s="2193">
        <f>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si="9"/>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si="10"/>
        <v>1.12E-2</v>
      </c>
      <c r="AG12" s="2211">
        <f>ROUND(AVERAGE(K12:K$40)/100,4)</f>
        <v>1.9699999999999999E-2</v>
      </c>
      <c r="AH12" s="2211">
        <f>ROUND(AVERAGE(L12:L$40)/100,4)</f>
        <v>1.29E-2</v>
      </c>
    </row>
    <row r="13" spans="1:34" s="2212" customFormat="1">
      <c r="A13" s="2205" t="s">
        <v>2312</v>
      </c>
      <c r="B13" s="2206">
        <f t="shared" si="0"/>
        <v>493.14449689037161</v>
      </c>
      <c r="C13" s="2206">
        <f t="shared" si="1"/>
        <v>347.21619073020611</v>
      </c>
      <c r="D13" s="2206">
        <f t="shared" si="2"/>
        <v>347.21619073020611</v>
      </c>
      <c r="E13" s="2206">
        <f t="shared" si="3"/>
        <v>710.55974278763904</v>
      </c>
      <c r="F13" s="2206">
        <f t="shared" si="4"/>
        <v>327.94540235306141</v>
      </c>
      <c r="G13" s="2812">
        <v>2020</v>
      </c>
      <c r="H13" s="2207">
        <v>4</v>
      </c>
      <c r="I13" s="2169">
        <v>2.0699999999999998</v>
      </c>
      <c r="J13" s="2169">
        <v>0.37</v>
      </c>
      <c r="K13" s="2169">
        <v>2.35</v>
      </c>
      <c r="L13" s="2170">
        <v>2.69</v>
      </c>
      <c r="M13" s="2192"/>
      <c r="N13" s="2208">
        <f t="shared" si="5"/>
        <v>2.07E-2</v>
      </c>
      <c r="O13" s="2193">
        <f t="shared" si="6"/>
        <v>3.7000000000000002E-3</v>
      </c>
      <c r="P13" s="2193">
        <f t="shared" si="7"/>
        <v>2.35E-2</v>
      </c>
      <c r="Q13" s="2193">
        <f t="shared" si="8"/>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si="9"/>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si="10"/>
        <v>1.1599999999999999E-2</v>
      </c>
      <c r="AG13" s="2211">
        <f>ROUND(AVERAGE(K13:K$40)/100,4)</f>
        <v>0.02</v>
      </c>
      <c r="AH13" s="2211">
        <f>ROUND(AVERAGE(L13:L$40)/100,4)</f>
        <v>1.3299999999999999E-2</v>
      </c>
    </row>
    <row r="14" spans="1:34" s="2212" customFormat="1">
      <c r="A14" s="2205" t="s">
        <v>2311</v>
      </c>
      <c r="B14" s="2206">
        <f t="shared" si="0"/>
        <v>483.1434279321756</v>
      </c>
      <c r="C14" s="2206">
        <f t="shared" si="1"/>
        <v>345.93622669144776</v>
      </c>
      <c r="D14" s="2206">
        <f t="shared" si="2"/>
        <v>345.93622669144776</v>
      </c>
      <c r="E14" s="2206">
        <f t="shared" si="3"/>
        <v>694.24498562544113</v>
      </c>
      <c r="F14" s="2206">
        <f t="shared" si="4"/>
        <v>319.35475932716082</v>
      </c>
      <c r="G14" s="2809">
        <v>2020</v>
      </c>
      <c r="H14" s="2207">
        <v>3</v>
      </c>
      <c r="I14" s="2169">
        <v>0.36</v>
      </c>
      <c r="J14" s="2169">
        <v>-0.39</v>
      </c>
      <c r="K14" s="2169">
        <v>0.49</v>
      </c>
      <c r="L14" s="2170">
        <v>7.0000000000000007E-2</v>
      </c>
      <c r="M14" s="2192"/>
      <c r="N14" s="2208">
        <f t="shared" si="5"/>
        <v>3.5999999999999999E-3</v>
      </c>
      <c r="O14" s="2193">
        <f t="shared" si="6"/>
        <v>-3.9000000000000003E-3</v>
      </c>
      <c r="P14" s="2193">
        <f t="shared" si="7"/>
        <v>4.8999999999999998E-3</v>
      </c>
      <c r="Q14" s="2193">
        <f t="shared" si="8"/>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si="9"/>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si="10"/>
        <v>1.1900000000000001E-2</v>
      </c>
      <c r="AG14" s="2211">
        <f>ROUND(AVERAGE(K14:K$40)/100,4)</f>
        <v>1.9900000000000001E-2</v>
      </c>
      <c r="AH14" s="2211">
        <f>ROUND(AVERAGE(L14:L$40)/100,4)</f>
        <v>1.2800000000000001E-2</v>
      </c>
    </row>
    <row r="15" spans="1:34" s="2212" customFormat="1">
      <c r="A15" s="2205" t="s">
        <v>2130</v>
      </c>
      <c r="B15" s="2206">
        <f t="shared" si="0"/>
        <v>481.4103506697644</v>
      </c>
      <c r="C15" s="2206">
        <f t="shared" si="1"/>
        <v>347.29066026648707</v>
      </c>
      <c r="D15" s="2206">
        <f t="shared" si="2"/>
        <v>347.29066026648707</v>
      </c>
      <c r="E15" s="2206">
        <f t="shared" si="3"/>
        <v>690.85977273901995</v>
      </c>
      <c r="F15" s="2206">
        <f t="shared" si="4"/>
        <v>319.13136737000184</v>
      </c>
      <c r="G15" s="2196">
        <v>2020</v>
      </c>
      <c r="H15" s="2207">
        <v>2</v>
      </c>
      <c r="I15" s="2169">
        <v>0.31</v>
      </c>
      <c r="J15" s="2169">
        <v>-0.78</v>
      </c>
      <c r="K15" s="2169">
        <v>0.5</v>
      </c>
      <c r="L15" s="2170">
        <v>0.47</v>
      </c>
      <c r="M15" s="2192"/>
      <c r="N15" s="2208">
        <f t="shared" si="5"/>
        <v>3.0999999999999999E-3</v>
      </c>
      <c r="O15" s="2193">
        <f t="shared" si="6"/>
        <v>-7.8000000000000005E-3</v>
      </c>
      <c r="P15" s="2193">
        <f t="shared" si="7"/>
        <v>5.0000000000000001E-3</v>
      </c>
      <c r="Q15" s="2193">
        <f t="shared" si="8"/>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si="9"/>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si="10"/>
        <v>1.2500000000000001E-2</v>
      </c>
      <c r="AG15" s="2211">
        <f>ROUND(AVERAGE(K15:K$40)/100,4)</f>
        <v>2.0400000000000001E-2</v>
      </c>
      <c r="AH15" s="2211">
        <f>ROUND(AVERAGE(L15:L$40)/100,4)</f>
        <v>1.32E-2</v>
      </c>
    </row>
    <row r="16" spans="1:34" s="2212" customFormat="1">
      <c r="A16" s="2205" t="s">
        <v>2128</v>
      </c>
      <c r="B16" s="2206">
        <f t="shared" si="0"/>
        <v>479.92259063878413</v>
      </c>
      <c r="C16" s="2206">
        <f t="shared" si="1"/>
        <v>350.02082268341775</v>
      </c>
      <c r="D16" s="2206">
        <f t="shared" si="2"/>
        <v>350.02082268341775</v>
      </c>
      <c r="E16" s="2206">
        <f t="shared" si="3"/>
        <v>687.42265944181099</v>
      </c>
      <c r="F16" s="2206">
        <f t="shared" si="4"/>
        <v>317.63846657708956</v>
      </c>
      <c r="G16" s="2196">
        <v>2020</v>
      </c>
      <c r="H16" s="2207">
        <v>1</v>
      </c>
      <c r="I16" s="2169">
        <v>0.12</v>
      </c>
      <c r="J16" s="2169">
        <v>-0.4</v>
      </c>
      <c r="K16" s="2169">
        <v>0.21</v>
      </c>
      <c r="L16" s="2170">
        <v>0.27</v>
      </c>
      <c r="M16" s="2192"/>
      <c r="N16" s="2208">
        <f t="shared" si="5"/>
        <v>1.1999999999999999E-3</v>
      </c>
      <c r="O16" s="2193">
        <f t="shared" si="6"/>
        <v>-4.0000000000000001E-3</v>
      </c>
      <c r="P16" s="2193">
        <f t="shared" si="7"/>
        <v>2.0999999999999999E-3</v>
      </c>
      <c r="Q16" s="2193">
        <f t="shared" si="8"/>
        <v>2.7000000000000001E-3</v>
      </c>
      <c r="R16" s="2209"/>
      <c r="S16" s="2208">
        <f>B16/B17-1</f>
        <v>1.2000000000000899E-3</v>
      </c>
      <c r="T16" s="2193">
        <f>C16/C17-1</f>
        <v>-4.0000000000000036E-3</v>
      </c>
      <c r="U16" s="2193">
        <f>D16/D17-1</f>
        <v>-4.0000000000000036E-3</v>
      </c>
      <c r="V16" s="2193">
        <f>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si="9"/>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si="10"/>
        <v>1.3299999999999999E-2</v>
      </c>
      <c r="AG16" s="2211">
        <f>ROUND(AVERAGE(K16:K$40)/100,4)</f>
        <v>2.1100000000000001E-2</v>
      </c>
      <c r="AH16" s="2211">
        <f>ROUND(AVERAGE(L16:L$40)/100,4)</f>
        <v>1.3599999999999999E-2</v>
      </c>
    </row>
    <row r="17" spans="1:34" s="2212" customFormat="1">
      <c r="A17" s="2205" t="s">
        <v>2127</v>
      </c>
      <c r="B17" s="2206">
        <f t="shared" si="0"/>
        <v>479.34737379023579</v>
      </c>
      <c r="C17" s="2206">
        <f t="shared" si="1"/>
        <v>351.4265287986122</v>
      </c>
      <c r="D17" s="2206">
        <f t="shared" si="2"/>
        <v>351.4265287986122</v>
      </c>
      <c r="E17" s="2206">
        <f t="shared" si="3"/>
        <v>685.98209703803116</v>
      </c>
      <c r="F17" s="2206">
        <f t="shared" si="4"/>
        <v>316.78315206651001</v>
      </c>
      <c r="G17" s="2196">
        <v>2019</v>
      </c>
      <c r="H17" s="2207">
        <v>4</v>
      </c>
      <c r="I17" s="2207">
        <v>0.45</v>
      </c>
      <c r="J17" s="2207">
        <v>-0.12</v>
      </c>
      <c r="K17" s="2207">
        <v>0.54</v>
      </c>
      <c r="L17" s="2213">
        <v>0.48</v>
      </c>
      <c r="M17" s="2192"/>
      <c r="N17" s="2208">
        <f t="shared" ref="N17:N22" si="11">I17/100</f>
        <v>4.5000000000000005E-3</v>
      </c>
      <c r="O17" s="2193">
        <f t="shared" ref="O17:O27" si="12">J17/100</f>
        <v>-1.1999999999999999E-3</v>
      </c>
      <c r="P17" s="2193">
        <f t="shared" ref="P17:P27" si="13">K17/100</f>
        <v>5.4000000000000003E-3</v>
      </c>
      <c r="Q17" s="2193">
        <f t="shared" ref="Q17:Q27" si="14">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si="9"/>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si="10"/>
        <v>1.4E-2</v>
      </c>
      <c r="AG17" s="2211">
        <f>ROUND(AVERAGE(K17:K$40)/100,4)</f>
        <v>2.1899999999999999E-2</v>
      </c>
      <c r="AH17" s="2211">
        <f>ROUND(AVERAGE(L17:L$40)/100,4)</f>
        <v>1.4E-2</v>
      </c>
    </row>
    <row r="18" spans="1:34" s="2212" customFormat="1" ht="13.5" thickBot="1">
      <c r="A18" s="2205" t="s">
        <v>2126</v>
      </c>
      <c r="B18" s="2206">
        <f t="shared" si="0"/>
        <v>477.19997390765138</v>
      </c>
      <c r="C18" s="2206">
        <f t="shared" si="1"/>
        <v>351.84874729536665</v>
      </c>
      <c r="D18" s="2206">
        <f t="shared" si="2"/>
        <v>351.84874729536665</v>
      </c>
      <c r="E18" s="2206">
        <f t="shared" si="3"/>
        <v>682.29768951465201</v>
      </c>
      <c r="F18" s="2206">
        <f t="shared" si="4"/>
        <v>315.26985675409043</v>
      </c>
      <c r="G18" s="2196">
        <v>2019</v>
      </c>
      <c r="H18" s="2207">
        <v>3</v>
      </c>
      <c r="I18" s="2207">
        <v>0.61</v>
      </c>
      <c r="J18" s="2207">
        <v>0.67</v>
      </c>
      <c r="K18" s="2207">
        <v>0.6</v>
      </c>
      <c r="L18" s="2213">
        <v>1.03</v>
      </c>
      <c r="M18" s="2192"/>
      <c r="N18" s="2208">
        <f t="shared" si="11"/>
        <v>6.0999999999999995E-3</v>
      </c>
      <c r="O18" s="2193">
        <f t="shared" si="12"/>
        <v>6.7000000000000002E-3</v>
      </c>
      <c r="P18" s="2193">
        <f t="shared" si="13"/>
        <v>6.0000000000000001E-3</v>
      </c>
      <c r="Q18" s="2193">
        <f t="shared" si="14"/>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si="9"/>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si="10"/>
        <v>1.47E-2</v>
      </c>
      <c r="AG18" s="2211">
        <f>ROUND(AVERAGE(K18:K$40)/100,4)</f>
        <v>2.2599999999999999E-2</v>
      </c>
      <c r="AH18" s="2211">
        <f>ROUND(AVERAGE(L18:L$40)/100,4)</f>
        <v>1.44E-2</v>
      </c>
    </row>
    <row r="19" spans="1:34" s="2212" customFormat="1">
      <c r="A19" s="2205" t="s">
        <v>2124</v>
      </c>
      <c r="B19" s="2206">
        <f t="shared" si="0"/>
        <v>474.30670301923408</v>
      </c>
      <c r="C19" s="2206">
        <f t="shared" si="1"/>
        <v>349.50705005996491</v>
      </c>
      <c r="D19" s="2206">
        <f t="shared" si="2"/>
        <v>349.50705005996491</v>
      </c>
      <c r="E19" s="2206">
        <f t="shared" si="3"/>
        <v>678.22831959706957</v>
      </c>
      <c r="F19" s="2206">
        <f t="shared" si="4"/>
        <v>312.0556832169558</v>
      </c>
      <c r="G19" s="2196">
        <v>2019</v>
      </c>
      <c r="H19" s="2214">
        <v>2</v>
      </c>
      <c r="I19" s="2214">
        <v>1.53</v>
      </c>
      <c r="J19" s="2214">
        <v>1.01</v>
      </c>
      <c r="K19" s="2214">
        <v>1.62</v>
      </c>
      <c r="L19" s="2215">
        <v>1.25</v>
      </c>
      <c r="M19" s="2192"/>
      <c r="N19" s="2208">
        <f t="shared" si="11"/>
        <v>1.5300000000000001E-2</v>
      </c>
      <c r="O19" s="2193">
        <f t="shared" si="12"/>
        <v>1.01E-2</v>
      </c>
      <c r="P19" s="2193">
        <f t="shared" si="13"/>
        <v>1.6200000000000003E-2</v>
      </c>
      <c r="Q19" s="2193">
        <f t="shared" si="14"/>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si="9"/>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si="10"/>
        <v>1.4999999999999999E-2</v>
      </c>
      <c r="AG19" s="2211">
        <f>ROUND(AVERAGE(K19:K$40)/100,4)</f>
        <v>2.3300000000000001E-2</v>
      </c>
      <c r="AH19" s="2211">
        <f>ROUND(AVERAGE(L19:L$40)/100,4)</f>
        <v>1.46E-2</v>
      </c>
    </row>
    <row r="20" spans="1:34" s="2212" customFormat="1" ht="13.5" thickBot="1">
      <c r="A20" s="2205" t="s">
        <v>2123</v>
      </c>
      <c r="B20" s="2206">
        <f t="shared" si="0"/>
        <v>467.15916775261894</v>
      </c>
      <c r="C20" s="2206">
        <f t="shared" si="1"/>
        <v>346.01232557169084</v>
      </c>
      <c r="D20" s="2206">
        <f t="shared" si="2"/>
        <v>346.01232557169084</v>
      </c>
      <c r="E20" s="2206">
        <f t="shared" si="3"/>
        <v>667.41617752122568</v>
      </c>
      <c r="F20" s="2206">
        <f t="shared" si="4"/>
        <v>308.20314391798104</v>
      </c>
      <c r="G20" s="2196">
        <v>2019</v>
      </c>
      <c r="H20" s="2207">
        <v>1</v>
      </c>
      <c r="I20" s="2207">
        <v>0.6</v>
      </c>
      <c r="J20" s="2207">
        <v>0.37</v>
      </c>
      <c r="K20" s="2207">
        <v>0.63</v>
      </c>
      <c r="L20" s="2213">
        <v>1.1299999999999999</v>
      </c>
      <c r="M20" s="2192"/>
      <c r="N20" s="2208">
        <f t="shared" si="11"/>
        <v>6.0000000000000001E-3</v>
      </c>
      <c r="O20" s="2193">
        <f t="shared" si="12"/>
        <v>3.7000000000000002E-3</v>
      </c>
      <c r="P20" s="2193">
        <f t="shared" si="13"/>
        <v>6.3E-3</v>
      </c>
      <c r="Q20" s="2193">
        <f t="shared" si="14"/>
        <v>1.1299999999999999E-2</v>
      </c>
      <c r="R20" s="2209"/>
      <c r="S20" s="2208">
        <f>B20/B21-1</f>
        <v>6.0000000000000053E-3</v>
      </c>
      <c r="T20" s="2193">
        <f>C20/C21-1</f>
        <v>3.7000000000000366E-3</v>
      </c>
      <c r="U20" s="2193">
        <f>D20/D21-1</f>
        <v>3.7000000000000366E-3</v>
      </c>
      <c r="V20" s="2193">
        <f>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si="9"/>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si="10"/>
        <v>1.5299999999999999E-2</v>
      </c>
      <c r="AG20" s="2211">
        <f>ROUND(AVERAGE(K20:K$40)/100,4)</f>
        <v>2.3699999999999999E-2</v>
      </c>
      <c r="AH20" s="2211">
        <f>ROUND(AVERAGE(L20:L$40)/100,4)</f>
        <v>1.47E-2</v>
      </c>
    </row>
    <row r="21" spans="1:34" s="2212" customFormat="1">
      <c r="A21" s="2205" t="s">
        <v>2125</v>
      </c>
      <c r="B21" s="2216">
        <f t="shared" si="0"/>
        <v>464.37293017158942</v>
      </c>
      <c r="C21" s="2216">
        <f t="shared" si="1"/>
        <v>344.73679941385956</v>
      </c>
      <c r="D21" s="2216">
        <f t="shared" si="2"/>
        <v>344.73679941385956</v>
      </c>
      <c r="E21" s="2216">
        <f t="shared" si="3"/>
        <v>663.2377795103107</v>
      </c>
      <c r="F21" s="2217">
        <f t="shared" si="4"/>
        <v>304.75936311478398</v>
      </c>
      <c r="G21" s="3785">
        <v>2018</v>
      </c>
      <c r="H21" s="2214">
        <v>4</v>
      </c>
      <c r="I21" s="2214">
        <v>0.96</v>
      </c>
      <c r="J21" s="2214">
        <v>1.03</v>
      </c>
      <c r="K21" s="2214">
        <v>0.92</v>
      </c>
      <c r="L21" s="2215">
        <v>1.29</v>
      </c>
      <c r="M21" s="2192"/>
      <c r="N21" s="2208">
        <f t="shared" si="11"/>
        <v>9.5999999999999992E-3</v>
      </c>
      <c r="O21" s="2193">
        <f t="shared" si="12"/>
        <v>1.03E-2</v>
      </c>
      <c r="P21" s="2193">
        <f t="shared" si="13"/>
        <v>9.1999999999999998E-3</v>
      </c>
      <c r="Q21" s="2193">
        <f t="shared" si="14"/>
        <v>1.29E-2</v>
      </c>
      <c r="R21" s="2209"/>
      <c r="S21" s="2208"/>
      <c r="T21" s="2193"/>
      <c r="U21" s="2193"/>
      <c r="V21" s="2193"/>
      <c r="W21" s="2210"/>
      <c r="X21" s="2210">
        <f>ROUND(SUMPRODUCT(PRODUCT(1+N21:N$39)),4)</f>
        <v>1.5099</v>
      </c>
      <c r="Y21" s="2210">
        <f>ROUND(SUMPRODUCT(PRODUCT(1+O21:O$39)),4)</f>
        <v>1.3372999999999999</v>
      </c>
      <c r="Z21" s="2210">
        <f t="shared" si="9"/>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si="10"/>
        <v>1.5800000000000002E-2</v>
      </c>
      <c r="AG21" s="2211">
        <f>ROUND(AVERAGE(K21:K$40)/100,4)</f>
        <v>2.4500000000000001E-2</v>
      </c>
      <c r="AH21" s="2211">
        <f>ROUND(AVERAGE(L21:L$40)/100,4)</f>
        <v>1.49E-2</v>
      </c>
    </row>
    <row r="22" spans="1:34" s="2212" customFormat="1" ht="14.45" customHeight="1">
      <c r="A22" s="2205" t="s">
        <v>2121</v>
      </c>
      <c r="B22" s="2206">
        <f t="shared" si="0"/>
        <v>459.95733971036987</v>
      </c>
      <c r="C22" s="2206">
        <f t="shared" si="1"/>
        <v>341.22221064422405</v>
      </c>
      <c r="D22" s="2206">
        <f t="shared" si="2"/>
        <v>341.22221064422405</v>
      </c>
      <c r="E22" s="2206">
        <f t="shared" si="3"/>
        <v>657.19161663724799</v>
      </c>
      <c r="F22" s="2206">
        <f t="shared" si="4"/>
        <v>300.87803644464805</v>
      </c>
      <c r="G22" s="3785"/>
      <c r="H22" s="2207">
        <v>3</v>
      </c>
      <c r="I22" s="2207">
        <v>1.51</v>
      </c>
      <c r="J22" s="2207">
        <v>1.41</v>
      </c>
      <c r="K22" s="2207">
        <v>1.52</v>
      </c>
      <c r="L22" s="2213">
        <v>1.74</v>
      </c>
      <c r="M22" s="2192"/>
      <c r="N22" s="2208">
        <f t="shared" si="11"/>
        <v>1.5100000000000001E-2</v>
      </c>
      <c r="O22" s="2193">
        <f t="shared" si="12"/>
        <v>1.41E-2</v>
      </c>
      <c r="P22" s="2193">
        <f t="shared" si="13"/>
        <v>1.52E-2</v>
      </c>
      <c r="Q22" s="2193">
        <f t="shared" si="14"/>
        <v>1.7399999999999999E-2</v>
      </c>
      <c r="R22" s="2209"/>
      <c r="S22" s="2208"/>
      <c r="T22" s="2193"/>
      <c r="U22" s="2193"/>
      <c r="V22" s="2193"/>
      <c r="W22" s="2210"/>
      <c r="X22" s="2210">
        <f>ROUND(SUMPRODUCT(PRODUCT(1+N22:N$39)),4)</f>
        <v>1.4956</v>
      </c>
      <c r="Y22" s="2210">
        <f>ROUND(SUMPRODUCT(PRODUCT(1+O22:O$39)),4)</f>
        <v>1.3237000000000001</v>
      </c>
      <c r="Z22" s="2210">
        <f t="shared" si="9"/>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si="10"/>
        <v>1.61E-2</v>
      </c>
      <c r="AG22" s="2211">
        <f>ROUND(AVERAGE(K22:K$40)/100,4)</f>
        <v>2.53E-2</v>
      </c>
      <c r="AH22" s="2211">
        <f>ROUND(AVERAGE(L22:L$40)/100,4)</f>
        <v>1.4999999999999999E-2</v>
      </c>
    </row>
    <row r="23" spans="1:34" s="2212" customFormat="1" ht="14.45" customHeight="1">
      <c r="A23" s="2205" t="s">
        <v>2120</v>
      </c>
      <c r="B23" s="2206">
        <f t="shared" si="0"/>
        <v>453.11529869999993</v>
      </c>
      <c r="C23" s="2206">
        <f t="shared" si="1"/>
        <v>336.47787264000004</v>
      </c>
      <c r="D23" s="2206">
        <f t="shared" si="2"/>
        <v>336.47787264000004</v>
      </c>
      <c r="E23" s="2206">
        <f t="shared" si="3"/>
        <v>647.35186823999993</v>
      </c>
      <c r="F23" s="2206">
        <f t="shared" si="4"/>
        <v>295.73229452000004</v>
      </c>
      <c r="G23" s="3785"/>
      <c r="H23" s="2218">
        <v>2</v>
      </c>
      <c r="I23" s="2218">
        <v>1.49</v>
      </c>
      <c r="J23" s="2218">
        <v>0.96</v>
      </c>
      <c r="K23" s="2218">
        <v>1.58</v>
      </c>
      <c r="L23" s="2219">
        <v>2.44</v>
      </c>
      <c r="M23" s="2192"/>
      <c r="N23" s="2208">
        <f>I23/100</f>
        <v>1.49E-2</v>
      </c>
      <c r="O23" s="2193">
        <f t="shared" si="12"/>
        <v>9.5999999999999992E-3</v>
      </c>
      <c r="P23" s="2193">
        <f t="shared" si="13"/>
        <v>1.5800000000000002E-2</v>
      </c>
      <c r="Q23" s="2193">
        <f t="shared" si="14"/>
        <v>2.4399999999999998E-2</v>
      </c>
      <c r="R23" s="2209"/>
      <c r="S23" s="2208"/>
      <c r="T23" s="2193"/>
      <c r="U23" s="2193"/>
      <c r="V23" s="2193"/>
      <c r="W23" s="2210"/>
      <c r="X23" s="2210">
        <f>ROUND(SUMPRODUCT(PRODUCT(1+N23:N$39)),4)</f>
        <v>1.4733000000000001</v>
      </c>
      <c r="Y23" s="2210">
        <f>ROUND(SUMPRODUCT(PRODUCT(1+O23:O$39)),4)</f>
        <v>1.3052999999999999</v>
      </c>
      <c r="Z23" s="2210">
        <f t="shared" si="9"/>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si="10"/>
        <v>1.6199999999999999E-2</v>
      </c>
      <c r="AG23" s="2211">
        <f>ROUND(AVERAGE(K23:K$40)/100,4)</f>
        <v>2.5899999999999999E-2</v>
      </c>
      <c r="AH23" s="2211">
        <f>ROUND(AVERAGE(L23:L$40)/100,4)</f>
        <v>1.49E-2</v>
      </c>
    </row>
    <row r="24" spans="1:34" s="2212" customFormat="1" ht="15" customHeight="1" thickBot="1">
      <c r="A24" s="2205" t="s">
        <v>2113</v>
      </c>
      <c r="B24" s="2206">
        <f t="shared" si="0"/>
        <v>446.46299999999997</v>
      </c>
      <c r="C24" s="2206">
        <f t="shared" si="1"/>
        <v>333.27840000000003</v>
      </c>
      <c r="D24" s="2206">
        <f t="shared" si="2"/>
        <v>333.27840000000003</v>
      </c>
      <c r="E24" s="2206">
        <f t="shared" si="3"/>
        <v>637.28279999999995</v>
      </c>
      <c r="F24" s="2206">
        <f t="shared" si="4"/>
        <v>288.68830000000003</v>
      </c>
      <c r="G24" s="3792"/>
      <c r="H24" s="2207">
        <v>1</v>
      </c>
      <c r="I24" s="2207">
        <v>1.7</v>
      </c>
      <c r="J24" s="2207">
        <v>1.92</v>
      </c>
      <c r="K24" s="2207">
        <v>1.64</v>
      </c>
      <c r="L24" s="2213">
        <v>2.0099999999999998</v>
      </c>
      <c r="M24" s="2192"/>
      <c r="N24" s="2208">
        <f t="shared" ref="N24:N29" si="15">I24/100</f>
        <v>1.7000000000000001E-2</v>
      </c>
      <c r="O24" s="2193">
        <f t="shared" si="12"/>
        <v>1.9199999999999998E-2</v>
      </c>
      <c r="P24" s="2193">
        <f t="shared" si="13"/>
        <v>1.6399999999999998E-2</v>
      </c>
      <c r="Q24" s="2193">
        <f t="shared" si="14"/>
        <v>2.0099999999999996E-2</v>
      </c>
      <c r="R24" s="2209"/>
      <c r="S24" s="2208">
        <f>B24/B25-1</f>
        <v>1.6999999999999904E-2</v>
      </c>
      <c r="T24" s="2193">
        <f>C24/C25-1</f>
        <v>1.9200000000000106E-2</v>
      </c>
      <c r="U24" s="2193">
        <f>D24/D25-1</f>
        <v>1.9200000000000106E-2</v>
      </c>
      <c r="V24" s="2193">
        <f>E24/E25-1</f>
        <v>1.639999999999997E-2</v>
      </c>
      <c r="W24" s="2210"/>
      <c r="X24" s="2210">
        <f>ROUND(SUMPRODUCT(PRODUCT(1+N24:N$39)),4)</f>
        <v>1.4517</v>
      </c>
      <c r="Y24" s="2210">
        <f>ROUND(SUMPRODUCT(PRODUCT(1+O24:O$39)),4)</f>
        <v>1.2928999999999999</v>
      </c>
      <c r="Z24" s="2210">
        <f t="shared" si="9"/>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si="10"/>
        <v>1.66E-2</v>
      </c>
      <c r="AG24" s="2211">
        <f>ROUND(AVERAGE(K24:K$40)/100,4)</f>
        <v>2.6499999999999999E-2</v>
      </c>
      <c r="AH24" s="2211">
        <f>ROUND(AVERAGE(L24:L$40)/100,4)</f>
        <v>1.43E-2</v>
      </c>
    </row>
    <row r="25" spans="1:34">
      <c r="A25" s="2205" t="s">
        <v>2111</v>
      </c>
      <c r="B25" s="2220">
        <v>439</v>
      </c>
      <c r="C25" s="2220">
        <v>327</v>
      </c>
      <c r="D25" s="2220">
        <f t="shared" si="2"/>
        <v>327</v>
      </c>
      <c r="E25" s="2220">
        <v>627</v>
      </c>
      <c r="F25" s="2221">
        <v>283</v>
      </c>
      <c r="G25" s="3788">
        <v>2017</v>
      </c>
      <c r="H25" s="2214">
        <v>4</v>
      </c>
      <c r="I25" s="2214">
        <v>1.71</v>
      </c>
      <c r="J25" s="2214">
        <v>1.78</v>
      </c>
      <c r="K25" s="2214">
        <v>1.71</v>
      </c>
      <c r="L25" s="2215">
        <v>1.43</v>
      </c>
      <c r="N25" s="2208">
        <f t="shared" si="15"/>
        <v>1.7100000000000001E-2</v>
      </c>
      <c r="O25" s="2193">
        <f t="shared" si="12"/>
        <v>1.78E-2</v>
      </c>
      <c r="P25" s="2193">
        <f t="shared" si="13"/>
        <v>1.7100000000000001E-2</v>
      </c>
      <c r="Q25" s="2193">
        <f t="shared" si="14"/>
        <v>1.43E-2</v>
      </c>
      <c r="R25" s="2209"/>
      <c r="S25" s="2222"/>
      <c r="T25" s="2223"/>
      <c r="U25" s="2223"/>
      <c r="V25" s="2223"/>
      <c r="X25" s="2192">
        <f>ROUND(SUMPRODUCT(PRODUCT(1+N25:N$39)),4)</f>
        <v>1.4274</v>
      </c>
      <c r="Y25" s="2192">
        <f>ROUND(SUMPRODUCT(PRODUCT(1+O25:O$39)),4)</f>
        <v>1.2685</v>
      </c>
      <c r="Z25" s="2192">
        <f t="shared" si="9"/>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0"/>
        <v>1.6500000000000001E-2</v>
      </c>
      <c r="AG25" s="2193">
        <f>ROUND(AVERAGE(K25:K$40)/100,4)</f>
        <v>2.7099999999999999E-2</v>
      </c>
      <c r="AH25" s="2193">
        <f>ROUND(AVERAGE(L25:L$40)/100,4)</f>
        <v>1.3899999999999999E-2</v>
      </c>
    </row>
    <row r="26" spans="1:34" s="2212" customFormat="1" ht="14.45" customHeight="1">
      <c r="A26" s="2205" t="s">
        <v>2112</v>
      </c>
      <c r="B26" s="2206">
        <f t="shared" ref="B26:C28" si="16">B27*(1+N26)</f>
        <v>431.80730811680002</v>
      </c>
      <c r="C26" s="2206">
        <f t="shared" si="16"/>
        <v>320.57880516480003</v>
      </c>
      <c r="D26" s="2206">
        <f t="shared" si="2"/>
        <v>320.57880516480003</v>
      </c>
      <c r="E26" s="2206">
        <f t="shared" ref="E26:F28" si="17">E27*(1+P26)</f>
        <v>615.96110553196797</v>
      </c>
      <c r="F26" s="2206">
        <f t="shared" si="17"/>
        <v>279.46777300108801</v>
      </c>
      <c r="G26" s="3785"/>
      <c r="H26" s="2207">
        <v>3</v>
      </c>
      <c r="I26" s="2207">
        <v>2.98</v>
      </c>
      <c r="J26" s="2207">
        <v>2.11</v>
      </c>
      <c r="K26" s="2207">
        <v>3.24</v>
      </c>
      <c r="L26" s="2213">
        <v>1.72</v>
      </c>
      <c r="M26" s="2192"/>
      <c r="N26" s="2208">
        <f t="shared" si="15"/>
        <v>2.98E-2</v>
      </c>
      <c r="O26" s="2193">
        <f t="shared" si="12"/>
        <v>2.1099999999999997E-2</v>
      </c>
      <c r="P26" s="2193">
        <f t="shared" si="13"/>
        <v>3.2400000000000005E-2</v>
      </c>
      <c r="Q26" s="2193">
        <f t="shared" si="14"/>
        <v>1.72E-2</v>
      </c>
      <c r="R26" s="2209"/>
      <c r="S26" s="2208"/>
      <c r="T26" s="2193"/>
      <c r="U26" s="2193"/>
      <c r="V26" s="2193"/>
      <c r="W26" s="2210"/>
      <c r="X26" s="2210">
        <f>ROUND(SUMPRODUCT(PRODUCT(1+N26:N$39)),4)</f>
        <v>1.4034</v>
      </c>
      <c r="Y26" s="2210">
        <f>ROUND(SUMPRODUCT(PRODUCT(1+O26:O$39)),4)</f>
        <v>1.2463</v>
      </c>
      <c r="Z26" s="2210">
        <f t="shared" si="9"/>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0"/>
        <v>1.6400000000000001E-2</v>
      </c>
      <c r="AG26" s="2211">
        <f>ROUND(AVERAGE(K26:K$40)/100,4)</f>
        <v>2.7799999999999998E-2</v>
      </c>
      <c r="AH26" s="2211">
        <f>ROUND(AVERAGE(L26:L$40)/100,4)</f>
        <v>1.3899999999999999E-2</v>
      </c>
    </row>
    <row r="27" spans="1:34" s="2199" customFormat="1" ht="14.45" customHeight="1">
      <c r="A27" s="2205" t="s">
        <v>677</v>
      </c>
      <c r="B27" s="2206">
        <f t="shared" si="16"/>
        <v>419.31181600000002</v>
      </c>
      <c r="C27" s="2206">
        <f t="shared" si="16"/>
        <v>313.95436800000004</v>
      </c>
      <c r="D27" s="2206">
        <f t="shared" si="2"/>
        <v>313.95436800000004</v>
      </c>
      <c r="E27" s="2206">
        <f t="shared" si="17"/>
        <v>596.63028431999999</v>
      </c>
      <c r="F27" s="2206">
        <f t="shared" si="17"/>
        <v>274.74220703999998</v>
      </c>
      <c r="G27" s="3785"/>
      <c r="H27" s="2218">
        <v>2</v>
      </c>
      <c r="I27" s="2218">
        <v>3.4</v>
      </c>
      <c r="J27" s="2218">
        <v>2</v>
      </c>
      <c r="K27" s="2218">
        <v>3.82</v>
      </c>
      <c r="L27" s="2219">
        <v>1.68</v>
      </c>
      <c r="M27" s="2192"/>
      <c r="N27" s="2208">
        <f t="shared" si="15"/>
        <v>3.4000000000000002E-2</v>
      </c>
      <c r="O27" s="2193">
        <f t="shared" si="12"/>
        <v>0.02</v>
      </c>
      <c r="P27" s="2193">
        <f t="shared" si="13"/>
        <v>3.8199999999999998E-2</v>
      </c>
      <c r="Q27" s="2193">
        <f t="shared" si="14"/>
        <v>1.6799999999999999E-2</v>
      </c>
      <c r="R27" s="2209"/>
      <c r="S27" s="2222"/>
      <c r="T27" s="2223"/>
      <c r="U27" s="2223"/>
      <c r="V27" s="2223"/>
      <c r="W27" s="2186"/>
      <c r="X27" s="2210">
        <f>ROUND(SUMPRODUCT(PRODUCT(1+N27:N$39)),4)</f>
        <v>1.3628</v>
      </c>
      <c r="Y27" s="2210">
        <f>ROUND(SUMPRODUCT(PRODUCT(1+O27:O$39)),4)</f>
        <v>1.2205999999999999</v>
      </c>
      <c r="Z27" s="2210">
        <f t="shared" si="9"/>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0"/>
        <v>1.6E-2</v>
      </c>
      <c r="AG27" s="2211">
        <f>ROUND(AVERAGE(K27:K$40)/100,4)</f>
        <v>2.75E-2</v>
      </c>
      <c r="AH27" s="2211">
        <f>ROUND(AVERAGE(L27:L$40)/100,4)</f>
        <v>1.37E-2</v>
      </c>
    </row>
    <row r="28" spans="1:34" s="2212" customFormat="1" ht="15" customHeight="1" thickBot="1">
      <c r="A28" s="2205" t="s">
        <v>463</v>
      </c>
      <c r="B28" s="2206">
        <f t="shared" si="16"/>
        <v>405.524</v>
      </c>
      <c r="C28" s="2206">
        <f t="shared" si="16"/>
        <v>307.79840000000002</v>
      </c>
      <c r="D28" s="2206">
        <f t="shared" si="2"/>
        <v>307.79840000000002</v>
      </c>
      <c r="E28" s="2206">
        <f t="shared" si="17"/>
        <v>574.67759999999998</v>
      </c>
      <c r="F28" s="2206">
        <f t="shared" si="17"/>
        <v>270.20280000000002</v>
      </c>
      <c r="G28" s="3792"/>
      <c r="H28" s="2207">
        <v>1</v>
      </c>
      <c r="I28" s="2207">
        <v>3.45</v>
      </c>
      <c r="J28" s="2207">
        <v>1.92</v>
      </c>
      <c r="K28" s="2207">
        <v>3.92</v>
      </c>
      <c r="L28" s="2213">
        <v>1.58</v>
      </c>
      <c r="M28" s="2192"/>
      <c r="N28" s="2208">
        <f t="shared" si="15"/>
        <v>3.4500000000000003E-2</v>
      </c>
      <c r="O28" s="2193">
        <f t="shared" ref="O28:Q43" si="18">J28/100</f>
        <v>1.9199999999999998E-2</v>
      </c>
      <c r="P28" s="2193">
        <f t="shared" si="18"/>
        <v>3.9199999999999999E-2</v>
      </c>
      <c r="Q28" s="2193">
        <f t="shared" si="18"/>
        <v>1.5800000000000002E-2</v>
      </c>
      <c r="R28" s="2209"/>
      <c r="S28" s="2208">
        <f>B28/B29-1</f>
        <v>3.4499999999999975E-2</v>
      </c>
      <c r="T28" s="2193">
        <f>C28/C29-1</f>
        <v>1.9200000000000106E-2</v>
      </c>
      <c r="U28" s="2193">
        <f>D28/D29-1</f>
        <v>1.9200000000000106E-2</v>
      </c>
      <c r="V28" s="2193">
        <f>E28/E29-1</f>
        <v>3.9199999999999902E-2</v>
      </c>
      <c r="W28" s="2210"/>
      <c r="X28" s="2210">
        <f>ROUND(SUMPRODUCT(PRODUCT(1+N28:N$39)),4)</f>
        <v>1.3180000000000001</v>
      </c>
      <c r="Y28" s="2210">
        <f>ROUND(SUMPRODUCT(PRODUCT(1+O28:O$39)),4)</f>
        <v>1.1966000000000001</v>
      </c>
      <c r="Z28" s="2210">
        <f t="shared" si="9"/>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0"/>
        <v>1.5699999999999999E-2</v>
      </c>
      <c r="AG28" s="2211">
        <f>ROUND(AVERAGE(K28:K$40)/100,4)</f>
        <v>2.6599999999999999E-2</v>
      </c>
      <c r="AH28" s="2211">
        <f>ROUND(AVERAGE(L28:L$40)/100,4)</f>
        <v>1.34E-2</v>
      </c>
    </row>
    <row r="29" spans="1:34">
      <c r="A29" s="2205" t="s">
        <v>127</v>
      </c>
      <c r="B29" s="2220">
        <v>392</v>
      </c>
      <c r="C29" s="2220">
        <v>302</v>
      </c>
      <c r="D29" s="2220">
        <f t="shared" si="2"/>
        <v>302</v>
      </c>
      <c r="E29" s="2220">
        <v>553</v>
      </c>
      <c r="F29" s="2221">
        <v>266</v>
      </c>
      <c r="G29" s="3788">
        <v>2016</v>
      </c>
      <c r="H29" s="2214">
        <v>4</v>
      </c>
      <c r="I29" s="2214">
        <v>4.5599999999999996</v>
      </c>
      <c r="J29" s="2214">
        <v>2.15</v>
      </c>
      <c r="K29" s="2214">
        <v>5.32</v>
      </c>
      <c r="L29" s="2215">
        <v>1.57</v>
      </c>
      <c r="N29" s="2208">
        <f t="shared" si="15"/>
        <v>4.5599999999999995E-2</v>
      </c>
      <c r="O29" s="2193">
        <f t="shared" si="18"/>
        <v>2.1499999999999998E-2</v>
      </c>
      <c r="P29" s="2193">
        <f t="shared" si="18"/>
        <v>5.3200000000000004E-2</v>
      </c>
      <c r="Q29" s="2193">
        <f t="shared" si="18"/>
        <v>1.5700000000000002E-2</v>
      </c>
      <c r="R29" s="2209"/>
      <c r="S29" s="2222"/>
      <c r="T29" s="2223"/>
      <c r="U29" s="2223"/>
      <c r="V29" s="2223"/>
      <c r="X29" s="2192">
        <f>ROUND(SUMPRODUCT(PRODUCT(1+N29:N$39)),4)</f>
        <v>1.274</v>
      </c>
      <c r="Y29" s="2192">
        <f>ROUND(SUMPRODUCT(PRODUCT(1+O29:O$39)),4)</f>
        <v>1.1740999999999999</v>
      </c>
      <c r="Z29" s="2192">
        <f t="shared" si="9"/>
        <v>1.1740999999999999</v>
      </c>
      <c r="AA29" s="2192">
        <f>ROUND(SUMPRODUCT(PRODUCT(1+P29:P$39)),4)</f>
        <v>1.3087</v>
      </c>
      <c r="AB29" s="2192">
        <f>ROUND(SUMPRODUCT(PRODUCT(1+Q29:Q$39)),4)</f>
        <v>1.1551</v>
      </c>
      <c r="AD29" s="2193">
        <f>ROUND(AVERAGE(I29:I$40)/100,4)</f>
        <v>2.3E-2</v>
      </c>
      <c r="AE29" s="2193">
        <f>ROUND(AVERAGE(J29:J$40)/100,4)</f>
        <v>1.55E-2</v>
      </c>
      <c r="AF29" s="2193">
        <f t="shared" si="10"/>
        <v>1.55E-2</v>
      </c>
      <c r="AG29" s="2193">
        <f>ROUND(AVERAGE(K29:K$40)/100,4)</f>
        <v>2.5600000000000001E-2</v>
      </c>
      <c r="AH29" s="2193">
        <f>ROUND(AVERAGE(L29:L$40)/100,4)</f>
        <v>1.32E-2</v>
      </c>
    </row>
    <row r="30" spans="1:34">
      <c r="A30" s="2205" t="s">
        <v>126</v>
      </c>
      <c r="B30" s="2206">
        <f t="shared" ref="B30:C32" si="19">B29/(1+N29)</f>
        <v>374.90436113236416</v>
      </c>
      <c r="C30" s="2206">
        <f t="shared" si="19"/>
        <v>295.64366128242779</v>
      </c>
      <c r="D30" s="2206">
        <f t="shared" ref="D30:D89" si="20">C30</f>
        <v>295.64366128242779</v>
      </c>
      <c r="E30" s="2206">
        <f t="shared" ref="E30:F32" si="21">E29/(1+P29)</f>
        <v>525.06646410938095</v>
      </c>
      <c r="F30" s="2206">
        <f t="shared" si="21"/>
        <v>261.88835286009646</v>
      </c>
      <c r="G30" s="3785"/>
      <c r="H30" s="2207">
        <v>3</v>
      </c>
      <c r="I30" s="2207">
        <v>4.12</v>
      </c>
      <c r="J30" s="2207">
        <v>2</v>
      </c>
      <c r="K30" s="2207">
        <v>4.79</v>
      </c>
      <c r="L30" s="2213">
        <v>1.97</v>
      </c>
      <c r="N30" s="2208">
        <f t="shared" ref="N30:Q64" si="22">I30/100</f>
        <v>4.1200000000000001E-2</v>
      </c>
      <c r="O30" s="2193">
        <f t="shared" si="18"/>
        <v>0.02</v>
      </c>
      <c r="P30" s="2193">
        <f t="shared" si="18"/>
        <v>4.7899999999999998E-2</v>
      </c>
      <c r="Q30" s="2193">
        <f t="shared" si="18"/>
        <v>1.9699999999999999E-2</v>
      </c>
      <c r="R30" s="2209"/>
      <c r="S30" s="2208"/>
      <c r="T30" s="2193"/>
      <c r="U30" s="2193"/>
      <c r="V30" s="2193"/>
      <c r="X30" s="2192">
        <f>ROUND(SUMPRODUCT(PRODUCT(1+N30:N$39)),4)</f>
        <v>1.2184999999999999</v>
      </c>
      <c r="Y30" s="2192">
        <f>ROUND(SUMPRODUCT(PRODUCT(1+O30:O$39)),4)</f>
        <v>1.1494</v>
      </c>
      <c r="Z30" s="2192">
        <f t="shared" si="9"/>
        <v>1.1494</v>
      </c>
      <c r="AA30" s="2192">
        <f>ROUND(SUMPRODUCT(PRODUCT(1+P30:P$39)),4)</f>
        <v>1.2425999999999999</v>
      </c>
      <c r="AB30" s="2192">
        <f>ROUND(SUMPRODUCT(PRODUCT(1+Q30:Q$39)),4)</f>
        <v>1.1372</v>
      </c>
      <c r="AD30" s="2193">
        <f>ROUND(AVERAGE(I30:I$40)/100,4)</f>
        <v>2.0899999999999998E-2</v>
      </c>
      <c r="AE30" s="2193">
        <f>ROUND(AVERAGE(J30:J$40)/100,4)</f>
        <v>1.49E-2</v>
      </c>
      <c r="AF30" s="2193">
        <f t="shared" si="10"/>
        <v>1.49E-2</v>
      </c>
      <c r="AG30" s="2193">
        <f>ROUND(AVERAGE(K30:K$40)/100,4)</f>
        <v>2.3099999999999999E-2</v>
      </c>
      <c r="AH30" s="2193">
        <f>ROUND(AVERAGE(L30:L$40)/100,4)</f>
        <v>1.2999999999999999E-2</v>
      </c>
    </row>
    <row r="31" spans="1:34">
      <c r="A31" s="2205" t="s">
        <v>116</v>
      </c>
      <c r="B31" s="2206">
        <f t="shared" si="19"/>
        <v>360.06949782209392</v>
      </c>
      <c r="C31" s="2206">
        <f t="shared" si="19"/>
        <v>289.84672674747821</v>
      </c>
      <c r="D31" s="2206">
        <f t="shared" si="20"/>
        <v>289.84672674747821</v>
      </c>
      <c r="E31" s="2206">
        <f t="shared" si="21"/>
        <v>501.06543001181495</v>
      </c>
      <c r="F31" s="2206">
        <f t="shared" si="21"/>
        <v>256.82882500744967</v>
      </c>
      <c r="G31" s="3785"/>
      <c r="H31" s="2218">
        <v>2</v>
      </c>
      <c r="I31" s="2218">
        <v>3.85</v>
      </c>
      <c r="J31" s="2218">
        <v>1.95</v>
      </c>
      <c r="K31" s="2218">
        <v>4.4800000000000004</v>
      </c>
      <c r="L31" s="2219">
        <v>1.41</v>
      </c>
      <c r="N31" s="2208">
        <f t="shared" si="22"/>
        <v>3.85E-2</v>
      </c>
      <c r="O31" s="2193">
        <f t="shared" si="18"/>
        <v>1.95E-2</v>
      </c>
      <c r="P31" s="2193">
        <f t="shared" si="18"/>
        <v>4.4800000000000006E-2</v>
      </c>
      <c r="Q31" s="2193">
        <f t="shared" si="18"/>
        <v>1.41E-2</v>
      </c>
      <c r="R31" s="2209"/>
      <c r="S31" s="2208"/>
      <c r="T31" s="2193"/>
      <c r="U31" s="2193"/>
      <c r="V31" s="2193"/>
      <c r="X31" s="2192">
        <f>ROUND(SUMPRODUCT(PRODUCT(1+N31:N$39)),4)</f>
        <v>1.1702999999999999</v>
      </c>
      <c r="Y31" s="2192">
        <f>ROUND(SUMPRODUCT(PRODUCT(1+O31:O$39)),4)</f>
        <v>1.1269</v>
      </c>
      <c r="Z31" s="2192">
        <f t="shared" si="9"/>
        <v>1.1269</v>
      </c>
      <c r="AA31" s="2192">
        <f>ROUND(SUMPRODUCT(PRODUCT(1+P31:P$39)),4)</f>
        <v>1.1858</v>
      </c>
      <c r="AB31" s="2192">
        <f>ROUND(SUMPRODUCT(PRODUCT(1+Q31:Q$39)),4)</f>
        <v>1.1152</v>
      </c>
      <c r="AD31" s="2193">
        <f>ROUND(AVERAGE(I31:I$40)/100,4)</f>
        <v>1.89E-2</v>
      </c>
      <c r="AE31" s="2193">
        <f>ROUND(AVERAGE(J31:J$40)/100,4)</f>
        <v>1.44E-2</v>
      </c>
      <c r="AF31" s="2193">
        <f t="shared" si="10"/>
        <v>1.44E-2</v>
      </c>
      <c r="AG31" s="2193">
        <f>ROUND(AVERAGE(K31:K$40)/100,4)</f>
        <v>2.06E-2</v>
      </c>
      <c r="AH31" s="2193">
        <f>ROUND(AVERAGE(L31:L$40)/100,4)</f>
        <v>1.23E-2</v>
      </c>
    </row>
    <row r="32" spans="1:34" ht="13.5" thickBot="1">
      <c r="A32" s="2205" t="s">
        <v>125</v>
      </c>
      <c r="B32" s="2206">
        <f t="shared" si="19"/>
        <v>346.720748986128</v>
      </c>
      <c r="C32" s="2206">
        <f t="shared" si="19"/>
        <v>284.30282172386285</v>
      </c>
      <c r="D32" s="2206">
        <f t="shared" si="20"/>
        <v>284.30282172386285</v>
      </c>
      <c r="E32" s="2206">
        <f t="shared" si="21"/>
        <v>479.58023546306947</v>
      </c>
      <c r="F32" s="2206">
        <f t="shared" si="21"/>
        <v>253.25788877571213</v>
      </c>
      <c r="G32" s="3786"/>
      <c r="H32" s="2207">
        <v>1</v>
      </c>
      <c r="I32" s="2207">
        <v>4.09</v>
      </c>
      <c r="J32" s="2207">
        <v>2.93</v>
      </c>
      <c r="K32" s="2207">
        <v>4.54</v>
      </c>
      <c r="L32" s="2213">
        <v>1.48</v>
      </c>
      <c r="N32" s="2208">
        <f t="shared" si="22"/>
        <v>4.0899999999999999E-2</v>
      </c>
      <c r="O32" s="2193">
        <f t="shared" si="18"/>
        <v>2.9300000000000003E-2</v>
      </c>
      <c r="P32" s="2193">
        <f t="shared" si="18"/>
        <v>4.5400000000000003E-2</v>
      </c>
      <c r="Q32" s="2193">
        <f t="shared" si="18"/>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9"/>
        <v>1.1052999999999999</v>
      </c>
      <c r="AA32" s="2192">
        <f>ROUND(SUMPRODUCT(PRODUCT(1+P32:P$39)),4)</f>
        <v>1.1349</v>
      </c>
      <c r="AB32" s="2192">
        <f>ROUND(SUMPRODUCT(PRODUCT(1+Q32:Q$39)),4)</f>
        <v>1.0996999999999999</v>
      </c>
      <c r="AD32" s="2193">
        <f>ROUND(AVERAGE(I32:I$40)/100,4)</f>
        <v>1.67E-2</v>
      </c>
      <c r="AE32" s="2193">
        <f>ROUND(AVERAGE(J32:J$40)/100,4)</f>
        <v>1.38E-2</v>
      </c>
      <c r="AF32" s="2193">
        <f t="shared" si="10"/>
        <v>1.38E-2</v>
      </c>
      <c r="AG32" s="2193">
        <f>ROUND(AVERAGE(K32:K$40)/100,4)</f>
        <v>1.7899999999999999E-2</v>
      </c>
      <c r="AH32" s="2193">
        <f>ROUND(AVERAGE(L32:L$40)/100,4)</f>
        <v>1.21E-2</v>
      </c>
    </row>
    <row r="33" spans="1:34" ht="13.5" thickBot="1">
      <c r="A33" s="2205" t="s">
        <v>124</v>
      </c>
      <c r="B33" s="2220">
        <v>333</v>
      </c>
      <c r="C33" s="2220">
        <v>277</v>
      </c>
      <c r="D33" s="2220">
        <f t="shared" si="20"/>
        <v>277</v>
      </c>
      <c r="E33" s="2220">
        <v>459</v>
      </c>
      <c r="F33" s="2221">
        <v>249</v>
      </c>
      <c r="G33" s="3784">
        <v>2015</v>
      </c>
      <c r="H33" s="2226">
        <v>4</v>
      </c>
      <c r="I33" s="2226">
        <v>1.63</v>
      </c>
      <c r="J33" s="2226">
        <v>1.1100000000000001</v>
      </c>
      <c r="K33" s="2226">
        <v>1.77</v>
      </c>
      <c r="L33" s="2227">
        <v>1.89</v>
      </c>
      <c r="N33" s="2228">
        <f t="shared" si="22"/>
        <v>1.6299999999999999E-2</v>
      </c>
      <c r="O33" s="2229">
        <f t="shared" si="18"/>
        <v>1.11E-2</v>
      </c>
      <c r="P33" s="2229">
        <f t="shared" si="18"/>
        <v>1.77E-2</v>
      </c>
      <c r="Q33" s="2229">
        <f t="shared" si="18"/>
        <v>1.89E-2</v>
      </c>
      <c r="R33" s="2209"/>
      <c r="X33" s="2192">
        <f>ROUND(SUMPRODUCT(PRODUCT(1+N33:N$39)),4)</f>
        <v>1.0826</v>
      </c>
      <c r="Y33" s="2192">
        <f>ROUND(SUMPRODUCT(PRODUCT(1+O33:O$39)),4)</f>
        <v>1.0738000000000001</v>
      </c>
      <c r="Z33" s="2192">
        <f t="shared" si="9"/>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0"/>
        <v>1.1900000000000001E-2</v>
      </c>
      <c r="AG33" s="2193">
        <f>ROUND(AVERAGE(K33:K$40)/100,4)</f>
        <v>1.4500000000000001E-2</v>
      </c>
      <c r="AH33" s="2193">
        <f>ROUND(AVERAGE(L33:L$40)/100,4)</f>
        <v>1.18E-2</v>
      </c>
    </row>
    <row r="34" spans="1:34">
      <c r="A34" s="2205" t="s">
        <v>123</v>
      </c>
      <c r="B34" s="2206">
        <f t="shared" ref="B34:C36" si="23">B33/(1+N33)</f>
        <v>327.65915576109415</v>
      </c>
      <c r="C34" s="2206">
        <f t="shared" si="23"/>
        <v>273.95905449510434</v>
      </c>
      <c r="D34" s="2206">
        <f t="shared" si="20"/>
        <v>273.95905449510434</v>
      </c>
      <c r="E34" s="2206">
        <f t="shared" ref="E34:F36" si="24">E33/(1+P33)</f>
        <v>451.01699911565294</v>
      </c>
      <c r="F34" s="2206">
        <f t="shared" si="24"/>
        <v>244.38119540681129</v>
      </c>
      <c r="G34" s="3785"/>
      <c r="H34" s="2231">
        <v>3</v>
      </c>
      <c r="I34" s="2231">
        <v>1.65</v>
      </c>
      <c r="J34" s="2231">
        <v>0.92</v>
      </c>
      <c r="K34" s="2231">
        <v>1.88</v>
      </c>
      <c r="L34" s="2232">
        <v>1.26</v>
      </c>
      <c r="N34" s="2208">
        <f t="shared" si="22"/>
        <v>1.6500000000000001E-2</v>
      </c>
      <c r="O34" s="2233">
        <f t="shared" si="18"/>
        <v>9.1999999999999998E-3</v>
      </c>
      <c r="P34" s="2233">
        <f t="shared" si="18"/>
        <v>1.8799999999999997E-2</v>
      </c>
      <c r="Q34" s="2233">
        <f t="shared" si="18"/>
        <v>1.26E-2</v>
      </c>
      <c r="R34" s="2209"/>
      <c r="S34" s="2208"/>
      <c r="T34" s="2193"/>
      <c r="U34" s="2193"/>
      <c r="V34" s="2193"/>
      <c r="X34" s="2192">
        <f>ROUND(SUMPRODUCT(PRODUCT(1+N34:N$39)),4)</f>
        <v>1.0651999999999999</v>
      </c>
      <c r="Y34" s="2192">
        <f>ROUND(SUMPRODUCT(PRODUCT(1+O34:O$39)),4)</f>
        <v>1.0621</v>
      </c>
      <c r="Z34" s="2192">
        <f t="shared" si="9"/>
        <v>1.0621</v>
      </c>
      <c r="AA34" s="2192">
        <f>ROUND(SUMPRODUCT(PRODUCT(1+P34:P$39)),4)</f>
        <v>1.0668</v>
      </c>
      <c r="AB34" s="2192">
        <f>ROUND(SUMPRODUCT(PRODUCT(1+Q34:Q$39)),4)</f>
        <v>1.0636000000000001</v>
      </c>
      <c r="AD34" s="2193">
        <f>ROUND(AVERAGE(I34:I$40)/100,4)</f>
        <v>1.3299999999999999E-2</v>
      </c>
      <c r="AE34" s="2193">
        <f>ROUND(AVERAGE(J34:J$40)/100,4)</f>
        <v>1.2E-2</v>
      </c>
      <c r="AF34" s="2193">
        <f t="shared" si="10"/>
        <v>1.2E-2</v>
      </c>
      <c r="AG34" s="2193">
        <f>ROUND(AVERAGE(K34:K$40)/100,4)</f>
        <v>1.4E-2</v>
      </c>
      <c r="AH34" s="2193">
        <f>ROUND(AVERAGE(L34:L$40)/100,4)</f>
        <v>1.0800000000000001E-2</v>
      </c>
    </row>
    <row r="35" spans="1:34">
      <c r="A35" s="2205" t="s">
        <v>122</v>
      </c>
      <c r="B35" s="2206">
        <f t="shared" si="23"/>
        <v>322.34053690220776</v>
      </c>
      <c r="C35" s="2206">
        <f t="shared" si="23"/>
        <v>271.46160770422546</v>
      </c>
      <c r="D35" s="2206">
        <f t="shared" si="20"/>
        <v>271.46160770422546</v>
      </c>
      <c r="E35" s="2206">
        <f t="shared" si="24"/>
        <v>442.69434542172456</v>
      </c>
      <c r="F35" s="2206">
        <f t="shared" si="24"/>
        <v>241.34030753190925</v>
      </c>
      <c r="G35" s="3785"/>
      <c r="H35" s="2218">
        <v>2</v>
      </c>
      <c r="I35" s="2218">
        <v>0.77</v>
      </c>
      <c r="J35" s="2218">
        <v>0.69</v>
      </c>
      <c r="K35" s="2218">
        <v>0.8</v>
      </c>
      <c r="L35" s="2219">
        <v>0.88</v>
      </c>
      <c r="N35" s="2208">
        <f t="shared" si="22"/>
        <v>7.7000000000000002E-3</v>
      </c>
      <c r="O35" s="2233">
        <f t="shared" si="18"/>
        <v>6.8999999999999999E-3</v>
      </c>
      <c r="P35" s="2233">
        <f t="shared" si="18"/>
        <v>8.0000000000000002E-3</v>
      </c>
      <c r="Q35" s="2233">
        <f t="shared" si="18"/>
        <v>8.8000000000000005E-3</v>
      </c>
      <c r="R35" s="2209"/>
      <c r="S35" s="2208"/>
      <c r="T35" s="2193"/>
      <c r="U35" s="2193"/>
      <c r="V35" s="2193"/>
      <c r="X35" s="2192">
        <f>ROUND(SUMPRODUCT(PRODUCT(1+N35:N$39)),4)</f>
        <v>1.048</v>
      </c>
      <c r="Y35" s="2192">
        <f>ROUND(SUMPRODUCT(PRODUCT(1+O35:O$39)),4)</f>
        <v>1.0524</v>
      </c>
      <c r="Z35" s="2192">
        <f t="shared" si="9"/>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0"/>
        <v>1.2500000000000001E-2</v>
      </c>
      <c r="AG35" s="2193">
        <f>ROUND(AVERAGE(K35:K$40)/100,4)</f>
        <v>1.32E-2</v>
      </c>
      <c r="AH35" s="2193">
        <f>ROUND(AVERAGE(L35:L$40)/100,4)</f>
        <v>1.0500000000000001E-2</v>
      </c>
    </row>
    <row r="36" spans="1:34">
      <c r="A36" s="2205" t="s">
        <v>121</v>
      </c>
      <c r="B36" s="2206">
        <f t="shared" si="23"/>
        <v>319.87748030386797</v>
      </c>
      <c r="C36" s="2206">
        <f t="shared" si="23"/>
        <v>269.60135833173649</v>
      </c>
      <c r="D36" s="2206">
        <f t="shared" si="20"/>
        <v>269.60135833173649</v>
      </c>
      <c r="E36" s="2206">
        <f t="shared" si="24"/>
        <v>439.18089823583784</v>
      </c>
      <c r="F36" s="2206">
        <f t="shared" si="24"/>
        <v>239.23503918706311</v>
      </c>
      <c r="G36" s="3786"/>
      <c r="H36" s="2207">
        <v>1</v>
      </c>
      <c r="I36" s="2207">
        <v>0.51</v>
      </c>
      <c r="J36" s="2207">
        <v>0.54</v>
      </c>
      <c r="K36" s="2207">
        <v>0.48</v>
      </c>
      <c r="L36" s="2213">
        <v>0.93</v>
      </c>
      <c r="N36" s="2224">
        <f t="shared" si="22"/>
        <v>5.1000000000000004E-3</v>
      </c>
      <c r="O36" s="2225">
        <f t="shared" si="18"/>
        <v>5.4000000000000003E-3</v>
      </c>
      <c r="P36" s="2225">
        <f t="shared" si="18"/>
        <v>4.7999999999999996E-3</v>
      </c>
      <c r="Q36" s="2225">
        <f t="shared" si="18"/>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9"/>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0"/>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0"/>
        <v>268</v>
      </c>
      <c r="E37" s="2234">
        <v>437</v>
      </c>
      <c r="F37" s="2235">
        <v>237</v>
      </c>
      <c r="G37" s="3784">
        <v>2014</v>
      </c>
      <c r="H37" s="2226">
        <v>4</v>
      </c>
      <c r="I37" s="2226">
        <v>0.21</v>
      </c>
      <c r="J37" s="2226">
        <v>0.41</v>
      </c>
      <c r="K37" s="2226">
        <v>0.12</v>
      </c>
      <c r="L37" s="2227">
        <v>0.89</v>
      </c>
      <c r="N37" s="2208">
        <f t="shared" si="22"/>
        <v>2.0999999999999999E-3</v>
      </c>
      <c r="O37" s="2193">
        <f t="shared" si="18"/>
        <v>4.0999999999999995E-3</v>
      </c>
      <c r="P37" s="2193">
        <f t="shared" si="18"/>
        <v>1.1999999999999999E-3</v>
      </c>
      <c r="Q37" s="2193">
        <f t="shared" si="18"/>
        <v>8.8999999999999999E-3</v>
      </c>
      <c r="R37" s="2209"/>
      <c r="S37" s="2222"/>
      <c r="T37" s="2223"/>
      <c r="U37" s="2223"/>
      <c r="V37" s="2223"/>
      <c r="X37" s="2192">
        <f>ROUND(SUMPRODUCT(PRODUCT(1+N37:N$39)),4)</f>
        <v>1.0347</v>
      </c>
      <c r="Y37" s="2192">
        <f>ROUND(SUMPRODUCT(PRODUCT(1+O37:O$39)),4)</f>
        <v>1.0395000000000001</v>
      </c>
      <c r="Z37" s="2192">
        <f t="shared" si="9"/>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0"/>
        <v>1.5599999999999999E-2</v>
      </c>
      <c r="AG37" s="2193">
        <f>ROUND(AVERAGE(K37:K$40)/100,4)</f>
        <v>1.66E-2</v>
      </c>
      <c r="AH37" s="2193">
        <f>ROUND(AVERAGE(L37:L$40)/100,4)</f>
        <v>1.12E-2</v>
      </c>
    </row>
    <row r="38" spans="1:34">
      <c r="A38" s="2205" t="s">
        <v>119</v>
      </c>
      <c r="B38" s="2206">
        <f t="shared" ref="B38:C40" si="25">B37/(1+N37)</f>
        <v>317.33359944117353</v>
      </c>
      <c r="C38" s="2206">
        <f t="shared" si="25"/>
        <v>266.90568668459315</v>
      </c>
      <c r="D38" s="2206">
        <f t="shared" si="20"/>
        <v>266.90568668459315</v>
      </c>
      <c r="E38" s="2206">
        <f t="shared" ref="E38:F40" si="26">E37/(1+P37)</f>
        <v>436.47622852576905</v>
      </c>
      <c r="F38" s="2206">
        <f t="shared" si="26"/>
        <v>234.90930716622066</v>
      </c>
      <c r="G38" s="3785"/>
      <c r="H38" s="2236">
        <v>3</v>
      </c>
      <c r="I38" s="2236">
        <v>0.83</v>
      </c>
      <c r="J38" s="2236">
        <v>1.47</v>
      </c>
      <c r="K38" s="2236">
        <v>0.65</v>
      </c>
      <c r="L38" s="2237">
        <v>0.72</v>
      </c>
      <c r="N38" s="2208">
        <f t="shared" si="22"/>
        <v>8.3000000000000001E-3</v>
      </c>
      <c r="O38" s="2193">
        <f t="shared" si="18"/>
        <v>1.47E-2</v>
      </c>
      <c r="P38" s="2193">
        <f t="shared" si="18"/>
        <v>6.5000000000000006E-3</v>
      </c>
      <c r="Q38" s="2193">
        <f t="shared" si="18"/>
        <v>7.1999999999999998E-3</v>
      </c>
      <c r="R38" s="2209"/>
      <c r="S38" s="2208"/>
      <c r="T38" s="2193"/>
      <c r="U38" s="2193"/>
      <c r="V38" s="2193"/>
      <c r="X38" s="2192">
        <f>ROUND(SUMPRODUCT(PRODUCT(1+N38:N$39)),4)</f>
        <v>1.0325</v>
      </c>
      <c r="Y38" s="2192">
        <f>ROUND(SUMPRODUCT(PRODUCT(1+O38:O$39)),4)</f>
        <v>1.0353000000000001</v>
      </c>
      <c r="Z38" s="2192">
        <f t="shared" si="9"/>
        <v>1.0353000000000001</v>
      </c>
      <c r="AA38" s="2192">
        <f>ROUND(SUMPRODUCT(PRODUCT(1+P38:P$39)),4)</f>
        <v>1.0326</v>
      </c>
      <c r="AB38" s="2192">
        <f>ROUND(SUMPRODUCT(PRODUCT(1+Q38:Q$39)),4)</f>
        <v>1.0225</v>
      </c>
      <c r="AD38" s="2193">
        <f>ROUND(AVERAGE(I38:I$40)/100,4)</f>
        <v>2.07E-2</v>
      </c>
      <c r="AE38" s="2193">
        <f>ROUND(AVERAGE(J38:J$40)/100,4)</f>
        <v>1.95E-2</v>
      </c>
      <c r="AF38" s="2193">
        <f t="shared" si="10"/>
        <v>1.95E-2</v>
      </c>
      <c r="AG38" s="2193">
        <f>ROUND(AVERAGE(K38:K$40)/100,4)</f>
        <v>2.1700000000000001E-2</v>
      </c>
      <c r="AH38" s="2193">
        <f>ROUND(AVERAGE(L38:L$40)/100,4)</f>
        <v>1.2E-2</v>
      </c>
    </row>
    <row r="39" spans="1:34" ht="13.5" thickBot="1">
      <c r="A39" s="2205" t="s">
        <v>118</v>
      </c>
      <c r="B39" s="2206">
        <f t="shared" si="25"/>
        <v>314.72141172386546</v>
      </c>
      <c r="C39" s="2206">
        <f t="shared" si="25"/>
        <v>263.03901319069001</v>
      </c>
      <c r="D39" s="2206">
        <f t="shared" si="20"/>
        <v>263.03901319069001</v>
      </c>
      <c r="E39" s="2206">
        <f t="shared" si="26"/>
        <v>433.65745506782821</v>
      </c>
      <c r="F39" s="2206">
        <f t="shared" si="26"/>
        <v>233.23005080045735</v>
      </c>
      <c r="G39" s="3785"/>
      <c r="H39" s="2226">
        <v>2</v>
      </c>
      <c r="I39" s="2226">
        <v>2.4</v>
      </c>
      <c r="J39" s="2226">
        <v>2.0299999999999998</v>
      </c>
      <c r="K39" s="2226">
        <v>2.59</v>
      </c>
      <c r="L39" s="2227">
        <v>1.52</v>
      </c>
      <c r="N39" s="2208">
        <f t="shared" si="22"/>
        <v>2.4E-2</v>
      </c>
      <c r="O39" s="2193">
        <f t="shared" si="18"/>
        <v>2.0299999999999999E-2</v>
      </c>
      <c r="P39" s="2193">
        <f t="shared" si="18"/>
        <v>2.5899999999999999E-2</v>
      </c>
      <c r="Q39" s="2193">
        <f t="shared" si="18"/>
        <v>1.52E-2</v>
      </c>
      <c r="R39" s="2209"/>
      <c r="S39" s="2208"/>
      <c r="T39" s="2193"/>
      <c r="U39" s="2193"/>
      <c r="V39" s="2193"/>
      <c r="X39" s="2192">
        <f>1+N39</f>
        <v>1.024</v>
      </c>
      <c r="Y39" s="2192">
        <f>1+O39</f>
        <v>1.0203</v>
      </c>
      <c r="Z39" s="2192">
        <f t="shared" si="9"/>
        <v>1.0203</v>
      </c>
      <c r="AA39" s="2192">
        <f>1+P39</f>
        <v>1.0259</v>
      </c>
      <c r="AB39" s="2192">
        <f>1+Q39</f>
        <v>1.0152000000000001</v>
      </c>
      <c r="AD39" s="2193">
        <f>ROUND(AVERAGE(I39:I$40)/100,4)</f>
        <v>2.69E-2</v>
      </c>
      <c r="AE39" s="2193">
        <f>ROUND(AVERAGE(J39:J$40)/100,4)</f>
        <v>2.1899999999999999E-2</v>
      </c>
      <c r="AF39" s="2193">
        <f t="shared" si="10"/>
        <v>2.1899999999999999E-2</v>
      </c>
      <c r="AG39" s="2193">
        <f>ROUND(AVERAGE(K39:K$40)/100,4)</f>
        <v>2.9399999999999999E-2</v>
      </c>
      <c r="AH39" s="2193">
        <f>ROUND(AVERAGE(L39:L$40)/100,4)</f>
        <v>1.44E-2</v>
      </c>
    </row>
    <row r="40" spans="1:34" s="2242" customFormat="1" ht="13.5" thickBot="1">
      <c r="A40" s="2238" t="s">
        <v>117</v>
      </c>
      <c r="B40" s="2239">
        <f t="shared" si="25"/>
        <v>307.34512863658733</v>
      </c>
      <c r="C40" s="2239">
        <f t="shared" si="25"/>
        <v>257.80556031626975</v>
      </c>
      <c r="D40" s="2239">
        <f t="shared" si="20"/>
        <v>257.80556031626975</v>
      </c>
      <c r="E40" s="2239">
        <f t="shared" si="26"/>
        <v>422.70928459677179</v>
      </c>
      <c r="F40" s="2239">
        <f t="shared" si="26"/>
        <v>229.73803270336617</v>
      </c>
      <c r="G40" s="3786"/>
      <c r="H40" s="2240">
        <v>1</v>
      </c>
      <c r="I40" s="2240">
        <v>2.97</v>
      </c>
      <c r="J40" s="2240">
        <v>2.34</v>
      </c>
      <c r="K40" s="2240">
        <v>3.28</v>
      </c>
      <c r="L40" s="2241">
        <v>1.36</v>
      </c>
      <c r="N40" s="2243">
        <f t="shared" si="22"/>
        <v>2.9700000000000001E-2</v>
      </c>
      <c r="O40" s="2244">
        <f t="shared" si="18"/>
        <v>2.3399999999999997E-2</v>
      </c>
      <c r="P40" s="2244">
        <f t="shared" si="18"/>
        <v>3.2799999999999996E-2</v>
      </c>
      <c r="Q40" s="2244">
        <f t="shared" si="18"/>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 t="shared" si="10"/>
        <v>2.3399999999999997E-2</v>
      </c>
      <c r="AG40" s="2244">
        <f>K40/100</f>
        <v>3.2799999999999996E-2</v>
      </c>
      <c r="AH40" s="2244">
        <f>L40/100</f>
        <v>1.3600000000000001E-2</v>
      </c>
    </row>
    <row r="41" spans="1:34" ht="13.5" thickBot="1">
      <c r="A41" s="2205" t="s">
        <v>465</v>
      </c>
      <c r="B41" s="2220">
        <v>299</v>
      </c>
      <c r="C41" s="2220">
        <v>252</v>
      </c>
      <c r="D41" s="2220">
        <f t="shared" si="20"/>
        <v>252</v>
      </c>
      <c r="E41" s="2220">
        <v>409</v>
      </c>
      <c r="F41" s="2221">
        <v>227</v>
      </c>
      <c r="G41" s="3789">
        <v>2013</v>
      </c>
      <c r="H41" s="2250">
        <v>4</v>
      </c>
      <c r="I41" s="2250">
        <v>1.83</v>
      </c>
      <c r="J41" s="2250">
        <v>1.68</v>
      </c>
      <c r="K41" s="2250">
        <v>1.97</v>
      </c>
      <c r="L41" s="2251">
        <v>0.87</v>
      </c>
      <c r="N41" s="2228">
        <f t="shared" si="22"/>
        <v>1.83E-2</v>
      </c>
      <c r="O41" s="2229">
        <f t="shared" si="18"/>
        <v>1.6799999999999999E-2</v>
      </c>
      <c r="P41" s="2229">
        <f t="shared" si="18"/>
        <v>1.9699999999999999E-2</v>
      </c>
      <c r="Q41" s="2229">
        <f t="shared" si="18"/>
        <v>8.6999999999999994E-3</v>
      </c>
      <c r="R41" s="2209"/>
      <c r="S41" s="2222"/>
      <c r="T41" s="2223"/>
      <c r="U41" s="2223"/>
      <c r="V41" s="2223"/>
      <c r="X41" s="2223"/>
      <c r="Y41" s="2223"/>
      <c r="Z41" s="2223"/>
    </row>
    <row r="42" spans="1:34">
      <c r="A42" s="2205" t="s">
        <v>466</v>
      </c>
      <c r="B42" s="2206">
        <f t="shared" ref="B42:C44" si="27">B41/(1+N41)</f>
        <v>293.62663262299913</v>
      </c>
      <c r="C42" s="2206">
        <f t="shared" si="27"/>
        <v>247.83634933123525</v>
      </c>
      <c r="D42" s="2206">
        <f t="shared" si="20"/>
        <v>247.83634933123525</v>
      </c>
      <c r="E42" s="2206">
        <f t="shared" ref="E42:F44" si="28">E41/(1+P41)</f>
        <v>401.09836226341076</v>
      </c>
      <c r="F42" s="2206">
        <f t="shared" si="28"/>
        <v>225.04213343908003</v>
      </c>
      <c r="G42" s="3790"/>
      <c r="H42" s="2231">
        <v>3</v>
      </c>
      <c r="I42" s="2231">
        <v>1.86</v>
      </c>
      <c r="J42" s="2231">
        <v>1.72</v>
      </c>
      <c r="K42" s="2231">
        <v>1.98</v>
      </c>
      <c r="L42" s="2232">
        <v>0.88</v>
      </c>
      <c r="N42" s="2208">
        <f t="shared" si="22"/>
        <v>1.8600000000000002E-2</v>
      </c>
      <c r="O42" s="2233">
        <f t="shared" si="18"/>
        <v>1.72E-2</v>
      </c>
      <c r="P42" s="2233">
        <f t="shared" si="18"/>
        <v>1.9799999999999998E-2</v>
      </c>
      <c r="Q42" s="2233">
        <f t="shared" si="18"/>
        <v>8.8000000000000005E-3</v>
      </c>
      <c r="R42" s="2209"/>
      <c r="S42" s="2208"/>
      <c r="T42" s="2193"/>
      <c r="U42" s="2193"/>
      <c r="V42" s="2193"/>
    </row>
    <row r="43" spans="1:34">
      <c r="A43" s="2205" t="s">
        <v>467</v>
      </c>
      <c r="B43" s="2206">
        <f t="shared" si="27"/>
        <v>288.2649053828776</v>
      </c>
      <c r="C43" s="2206">
        <f t="shared" si="27"/>
        <v>243.64564425013293</v>
      </c>
      <c r="D43" s="2206">
        <f t="shared" si="20"/>
        <v>243.64564425013293</v>
      </c>
      <c r="E43" s="2206">
        <f t="shared" si="28"/>
        <v>393.31080825986544</v>
      </c>
      <c r="F43" s="2206">
        <f t="shared" si="28"/>
        <v>223.07903790551154</v>
      </c>
      <c r="G43" s="3790"/>
      <c r="H43" s="2218">
        <v>2</v>
      </c>
      <c r="I43" s="2218">
        <v>2.04</v>
      </c>
      <c r="J43" s="2218">
        <v>2.33</v>
      </c>
      <c r="K43" s="2218">
        <v>2.0699999999999998</v>
      </c>
      <c r="L43" s="2219">
        <v>0.69</v>
      </c>
      <c r="N43" s="2208">
        <f t="shared" si="22"/>
        <v>2.0400000000000001E-2</v>
      </c>
      <c r="O43" s="2233">
        <f t="shared" si="18"/>
        <v>2.3300000000000001E-2</v>
      </c>
      <c r="P43" s="2233">
        <f t="shared" si="18"/>
        <v>2.07E-2</v>
      </c>
      <c r="Q43" s="2233">
        <f t="shared" si="18"/>
        <v>6.8999999999999999E-3</v>
      </c>
      <c r="R43" s="2209"/>
      <c r="S43" s="2208"/>
      <c r="T43" s="2193"/>
      <c r="U43" s="2193"/>
      <c r="V43" s="2193"/>
      <c r="X43" s="2252"/>
      <c r="Y43" s="2253"/>
    </row>
    <row r="44" spans="1:34">
      <c r="A44" s="2205" t="s">
        <v>468</v>
      </c>
      <c r="B44" s="2206">
        <f t="shared" si="27"/>
        <v>282.50186729015837</v>
      </c>
      <c r="C44" s="2206">
        <f t="shared" si="27"/>
        <v>238.09796174155468</v>
      </c>
      <c r="D44" s="2206">
        <f t="shared" si="20"/>
        <v>238.09796174155468</v>
      </c>
      <c r="E44" s="2206">
        <f t="shared" si="28"/>
        <v>385.33438646014054</v>
      </c>
      <c r="F44" s="2206">
        <f t="shared" si="28"/>
        <v>221.55034055567739</v>
      </c>
      <c r="G44" s="3791"/>
      <c r="H44" s="2207">
        <v>1</v>
      </c>
      <c r="I44" s="2207">
        <v>1.67</v>
      </c>
      <c r="J44" s="2207">
        <v>1.31</v>
      </c>
      <c r="K44" s="2207">
        <v>1.85</v>
      </c>
      <c r="L44" s="2213">
        <v>0.96</v>
      </c>
      <c r="N44" s="2224">
        <f t="shared" si="22"/>
        <v>1.67E-2</v>
      </c>
      <c r="O44" s="2225">
        <f t="shared" si="22"/>
        <v>1.3100000000000001E-2</v>
      </c>
      <c r="P44" s="2225">
        <f t="shared" si="22"/>
        <v>1.8500000000000003E-2</v>
      </c>
      <c r="Q44" s="2225">
        <f t="shared" si="22"/>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0"/>
        <v>234</v>
      </c>
      <c r="E45" s="2255">
        <v>379</v>
      </c>
      <c r="F45" s="2256">
        <v>220</v>
      </c>
      <c r="G45" s="3784">
        <v>2012</v>
      </c>
      <c r="H45" s="2226">
        <v>4</v>
      </c>
      <c r="I45" s="2226">
        <v>0.91</v>
      </c>
      <c r="J45" s="2226">
        <v>0.68</v>
      </c>
      <c r="K45" s="2226">
        <v>0.98</v>
      </c>
      <c r="L45" s="2227">
        <v>0.9</v>
      </c>
      <c r="N45" s="2208">
        <f t="shared" si="22"/>
        <v>9.1000000000000004E-3</v>
      </c>
      <c r="O45" s="2193">
        <f t="shared" si="22"/>
        <v>6.8000000000000005E-3</v>
      </c>
      <c r="P45" s="2193">
        <f t="shared" si="22"/>
        <v>9.7999999999999997E-3</v>
      </c>
      <c r="Q45" s="2193">
        <f t="shared" si="22"/>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0"/>
        <v>232.41954707985698</v>
      </c>
      <c r="E46" s="2206">
        <f t="shared" ref="E46:F48" si="29">E45/(1+P45)</f>
        <v>375.32184591008121</v>
      </c>
      <c r="F46" s="2206">
        <f t="shared" si="29"/>
        <v>218.03766105054513</v>
      </c>
      <c r="G46" s="3785"/>
      <c r="H46" s="2231">
        <v>3</v>
      </c>
      <c r="I46" s="2231">
        <v>0.09</v>
      </c>
      <c r="J46" s="2231">
        <v>0.28999999999999998</v>
      </c>
      <c r="K46" s="2231">
        <v>-0.01</v>
      </c>
      <c r="L46" s="2232">
        <v>0.57999999999999996</v>
      </c>
      <c r="N46" s="2208">
        <f t="shared" si="22"/>
        <v>8.9999999999999998E-4</v>
      </c>
      <c r="O46" s="2193">
        <f t="shared" si="22"/>
        <v>2.8999999999999998E-3</v>
      </c>
      <c r="P46" s="2193">
        <f t="shared" si="22"/>
        <v>-1E-4</v>
      </c>
      <c r="Q46" s="2193">
        <f t="shared" si="22"/>
        <v>5.7999999999999996E-3</v>
      </c>
      <c r="R46" s="2209"/>
      <c r="S46" s="2208"/>
      <c r="T46" s="2193"/>
      <c r="U46" s="2193"/>
      <c r="V46" s="2193"/>
    </row>
    <row r="47" spans="1:34">
      <c r="A47" s="2205" t="s">
        <v>471</v>
      </c>
      <c r="B47" s="2206">
        <f>B46/(1+N46)</f>
        <v>275.24529281292263</v>
      </c>
      <c r="C47" s="2206">
        <f>C46/(1+O46)</f>
        <v>231.74747938962707</v>
      </c>
      <c r="D47" s="2206">
        <f t="shared" si="20"/>
        <v>231.74747938962707</v>
      </c>
      <c r="E47" s="2206">
        <f t="shared" si="29"/>
        <v>375.35938184826603</v>
      </c>
      <c r="F47" s="2206">
        <f t="shared" si="29"/>
        <v>216.78033510692495</v>
      </c>
      <c r="G47" s="3785"/>
      <c r="H47" s="2218">
        <v>2</v>
      </c>
      <c r="I47" s="2218">
        <v>0.02</v>
      </c>
      <c r="J47" s="2218">
        <v>0.12</v>
      </c>
      <c r="K47" s="2218">
        <v>-0.08</v>
      </c>
      <c r="L47" s="2219">
        <v>1.24</v>
      </c>
      <c r="N47" s="2208">
        <f t="shared" si="22"/>
        <v>2.0000000000000001E-4</v>
      </c>
      <c r="O47" s="2193">
        <f t="shared" si="22"/>
        <v>1.1999999999999999E-3</v>
      </c>
      <c r="P47" s="2193">
        <f t="shared" si="22"/>
        <v>-8.0000000000000004E-4</v>
      </c>
      <c r="Q47" s="2193">
        <f t="shared" si="22"/>
        <v>1.24E-2</v>
      </c>
      <c r="R47" s="2209"/>
      <c r="S47" s="2208"/>
      <c r="T47" s="2193"/>
      <c r="U47" s="2193"/>
      <c r="V47" s="2193"/>
    </row>
    <row r="48" spans="1:34" ht="13.5" thickBot="1">
      <c r="A48" s="2205" t="s">
        <v>472</v>
      </c>
      <c r="B48" s="2206">
        <f>B47/(1+N47)</f>
        <v>275.19025476197027</v>
      </c>
      <c r="C48" s="2257">
        <v>232</v>
      </c>
      <c r="D48" s="2257">
        <f t="shared" si="20"/>
        <v>232</v>
      </c>
      <c r="E48" s="2206">
        <f t="shared" si="29"/>
        <v>375.65990977608692</v>
      </c>
      <c r="F48" s="2206">
        <f t="shared" si="29"/>
        <v>214.12518283971252</v>
      </c>
      <c r="G48" s="3786"/>
      <c r="H48" s="2207">
        <v>1</v>
      </c>
      <c r="I48" s="2207">
        <v>0.02</v>
      </c>
      <c r="J48" s="2207">
        <v>0.13</v>
      </c>
      <c r="K48" s="2207">
        <v>-0.04</v>
      </c>
      <c r="L48" s="2213">
        <v>0.46</v>
      </c>
      <c r="N48" s="2208">
        <f t="shared" si="22"/>
        <v>2.0000000000000001E-4</v>
      </c>
      <c r="O48" s="2193">
        <f t="shared" si="22"/>
        <v>1.2999999999999999E-3</v>
      </c>
      <c r="P48" s="2193">
        <f t="shared" si="22"/>
        <v>-4.0000000000000002E-4</v>
      </c>
      <c r="Q48" s="2193">
        <f t="shared" si="22"/>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0"/>
        <v>232</v>
      </c>
      <c r="E49" s="2220">
        <v>376</v>
      </c>
      <c r="F49" s="2221">
        <v>213</v>
      </c>
      <c r="G49" s="3784">
        <v>2011</v>
      </c>
      <c r="H49" s="2226">
        <v>4</v>
      </c>
      <c r="I49" s="2226">
        <v>-0.2</v>
      </c>
      <c r="J49" s="2226">
        <v>0.04</v>
      </c>
      <c r="K49" s="2226">
        <v>-0.34</v>
      </c>
      <c r="L49" s="2227">
        <v>0.46</v>
      </c>
      <c r="N49" s="2228">
        <f t="shared" si="22"/>
        <v>-2E-3</v>
      </c>
      <c r="O49" s="2229">
        <f t="shared" si="22"/>
        <v>4.0000000000000002E-4</v>
      </c>
      <c r="P49" s="2229">
        <f t="shared" si="22"/>
        <v>-3.4000000000000002E-3</v>
      </c>
      <c r="Q49" s="2229">
        <f t="shared" si="22"/>
        <v>4.5999999999999999E-3</v>
      </c>
      <c r="R49" s="2209"/>
      <c r="S49" s="2222"/>
      <c r="T49" s="2223"/>
      <c r="U49" s="2223"/>
      <c r="V49" s="2223"/>
      <c r="X49" s="2223"/>
      <c r="Y49" s="2223"/>
      <c r="Z49" s="2223"/>
    </row>
    <row r="50" spans="1:26">
      <c r="A50" s="2205" t="s">
        <v>474</v>
      </c>
      <c r="B50" s="2206">
        <f t="shared" ref="B50:C52" si="30">B49/(1+N49)</f>
        <v>275.55110220440883</v>
      </c>
      <c r="C50" s="2206">
        <f t="shared" si="30"/>
        <v>231.90723710515795</v>
      </c>
      <c r="D50" s="2206">
        <f t="shared" si="20"/>
        <v>231.90723710515795</v>
      </c>
      <c r="E50" s="2206">
        <f t="shared" ref="E50:F52" si="31">E49/(1+P49)</f>
        <v>377.28276138872161</v>
      </c>
      <c r="F50" s="2206">
        <f t="shared" si="31"/>
        <v>212.02468644236512</v>
      </c>
      <c r="G50" s="3785">
        <v>2011</v>
      </c>
      <c r="H50" s="2231">
        <v>3</v>
      </c>
      <c r="I50" s="2231">
        <v>0.13</v>
      </c>
      <c r="J50" s="2231">
        <v>0.75</v>
      </c>
      <c r="K50" s="2231">
        <v>-0.08</v>
      </c>
      <c r="L50" s="2232">
        <v>0.53</v>
      </c>
      <c r="N50" s="2208">
        <f t="shared" si="22"/>
        <v>1.2999999999999999E-3</v>
      </c>
      <c r="O50" s="2233">
        <f t="shared" si="22"/>
        <v>7.4999999999999997E-3</v>
      </c>
      <c r="P50" s="2233">
        <f t="shared" si="22"/>
        <v>-8.0000000000000004E-4</v>
      </c>
      <c r="Q50" s="2233">
        <f t="shared" si="22"/>
        <v>5.3E-3</v>
      </c>
      <c r="R50" s="2209"/>
      <c r="S50" s="2208"/>
      <c r="T50" s="2193"/>
      <c r="U50" s="2193"/>
      <c r="V50" s="2193"/>
    </row>
    <row r="51" spans="1:26">
      <c r="A51" s="2205" t="s">
        <v>475</v>
      </c>
      <c r="B51" s="2206">
        <f t="shared" si="30"/>
        <v>275.19335084830601</v>
      </c>
      <c r="C51" s="2206">
        <f t="shared" si="30"/>
        <v>230.18088050139744</v>
      </c>
      <c r="D51" s="2206">
        <f t="shared" si="20"/>
        <v>230.18088050139744</v>
      </c>
      <c r="E51" s="2206">
        <f t="shared" si="31"/>
        <v>377.58482925212331</v>
      </c>
      <c r="F51" s="2206">
        <f t="shared" si="31"/>
        <v>210.90687997847917</v>
      </c>
      <c r="G51" s="3785">
        <v>2011</v>
      </c>
      <c r="H51" s="2218">
        <v>2</v>
      </c>
      <c r="I51" s="2218">
        <v>-0.4</v>
      </c>
      <c r="J51" s="2218">
        <v>0.17</v>
      </c>
      <c r="K51" s="2218">
        <v>-0.57999999999999996</v>
      </c>
      <c r="L51" s="2219">
        <v>-0.2</v>
      </c>
      <c r="N51" s="2208">
        <f t="shared" si="22"/>
        <v>-4.0000000000000001E-3</v>
      </c>
      <c r="O51" s="2233">
        <f t="shared" si="22"/>
        <v>1.7000000000000001E-3</v>
      </c>
      <c r="P51" s="2233">
        <f t="shared" si="22"/>
        <v>-5.7999999999999996E-3</v>
      </c>
      <c r="Q51" s="2233">
        <f t="shared" si="22"/>
        <v>-2E-3</v>
      </c>
      <c r="R51" s="2209"/>
      <c r="S51" s="2208"/>
      <c r="T51" s="2193"/>
      <c r="U51" s="2193"/>
      <c r="V51" s="2193"/>
    </row>
    <row r="52" spans="1:26" ht="13.5" thickBot="1">
      <c r="A52" s="2205" t="s">
        <v>476</v>
      </c>
      <c r="B52" s="2206">
        <f t="shared" si="30"/>
        <v>276.29854502841971</v>
      </c>
      <c r="C52" s="2206">
        <f t="shared" si="30"/>
        <v>229.79023709833027</v>
      </c>
      <c r="D52" s="2206">
        <f t="shared" si="20"/>
        <v>229.79023709833027</v>
      </c>
      <c r="E52" s="2206">
        <f t="shared" si="31"/>
        <v>379.78759731655936</v>
      </c>
      <c r="F52" s="2206">
        <f t="shared" si="31"/>
        <v>211.32953905659235</v>
      </c>
      <c r="G52" s="3786">
        <v>2011</v>
      </c>
      <c r="H52" s="2207">
        <v>1</v>
      </c>
      <c r="I52" s="2207">
        <v>2.65</v>
      </c>
      <c r="J52" s="2207">
        <v>3.76</v>
      </c>
      <c r="K52" s="2207">
        <v>1.89</v>
      </c>
      <c r="L52" s="2213">
        <v>7.95</v>
      </c>
      <c r="N52" s="2224">
        <f t="shared" si="22"/>
        <v>2.6499999999999999E-2</v>
      </c>
      <c r="O52" s="2225">
        <f t="shared" si="22"/>
        <v>3.7599999999999995E-2</v>
      </c>
      <c r="P52" s="2225">
        <f t="shared" si="22"/>
        <v>1.89E-2</v>
      </c>
      <c r="Q52" s="2225">
        <f t="shared" si="22"/>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0"/>
        <v>221</v>
      </c>
      <c r="E53" s="2220">
        <v>373</v>
      </c>
      <c r="F53" s="2221">
        <v>196</v>
      </c>
      <c r="G53" s="3784">
        <v>2010</v>
      </c>
      <c r="H53" s="2226">
        <v>4</v>
      </c>
      <c r="I53" s="2226">
        <v>5.72</v>
      </c>
      <c r="J53" s="2226">
        <v>6.57</v>
      </c>
      <c r="K53" s="2226">
        <v>5.72</v>
      </c>
      <c r="L53" s="2227">
        <v>2.72</v>
      </c>
      <c r="N53" s="2208">
        <f t="shared" si="22"/>
        <v>5.7200000000000001E-2</v>
      </c>
      <c r="O53" s="2193">
        <f t="shared" si="22"/>
        <v>6.5700000000000008E-2</v>
      </c>
      <c r="P53" s="2193">
        <f t="shared" si="22"/>
        <v>5.7200000000000001E-2</v>
      </c>
      <c r="Q53" s="2193">
        <f t="shared" si="22"/>
        <v>2.7200000000000002E-2</v>
      </c>
      <c r="R53" s="2209"/>
      <c r="S53" s="2222"/>
      <c r="T53" s="2223"/>
      <c r="U53" s="2223"/>
      <c r="V53" s="2223"/>
      <c r="X53" s="2223"/>
      <c r="Y53" s="2223"/>
      <c r="Z53" s="2223"/>
    </row>
    <row r="54" spans="1:26">
      <c r="A54" s="2205" t="s">
        <v>478</v>
      </c>
      <c r="B54" s="2206">
        <f t="shared" ref="B54:C56" si="32">B53/(1+N53)</f>
        <v>254.44570563753314</v>
      </c>
      <c r="C54" s="2206">
        <f t="shared" si="32"/>
        <v>207.37543398705074</v>
      </c>
      <c r="D54" s="2206">
        <f t="shared" si="20"/>
        <v>207.37543398705074</v>
      </c>
      <c r="E54" s="2206">
        <f t="shared" ref="E54:F56" si="33">E53/(1+P53)</f>
        <v>352.81876655315932</v>
      </c>
      <c r="F54" s="2206">
        <f t="shared" si="33"/>
        <v>190.809968847352</v>
      </c>
      <c r="G54" s="3785">
        <v>2010</v>
      </c>
      <c r="H54" s="2231">
        <v>3</v>
      </c>
      <c r="I54" s="2231">
        <v>4.7300000000000004</v>
      </c>
      <c r="J54" s="2231">
        <v>3.9</v>
      </c>
      <c r="K54" s="2231">
        <v>5.03</v>
      </c>
      <c r="L54" s="2232">
        <v>4.21</v>
      </c>
      <c r="N54" s="2208">
        <f t="shared" si="22"/>
        <v>4.7300000000000002E-2</v>
      </c>
      <c r="O54" s="2193">
        <f t="shared" si="22"/>
        <v>3.9E-2</v>
      </c>
      <c r="P54" s="2193">
        <f t="shared" si="22"/>
        <v>5.0300000000000004E-2</v>
      </c>
      <c r="Q54" s="2193">
        <f t="shared" si="22"/>
        <v>4.2099999999999999E-2</v>
      </c>
      <c r="R54" s="2209"/>
      <c r="S54" s="2208"/>
      <c r="T54" s="2193"/>
      <c r="U54" s="2193"/>
      <c r="V54" s="2193"/>
    </row>
    <row r="55" spans="1:26">
      <c r="A55" s="2205" t="s">
        <v>479</v>
      </c>
      <c r="B55" s="2206">
        <f t="shared" si="32"/>
        <v>242.95398227588385</v>
      </c>
      <c r="C55" s="2206">
        <f t="shared" si="32"/>
        <v>199.59137053614126</v>
      </c>
      <c r="D55" s="2206">
        <f t="shared" si="20"/>
        <v>199.59137053614126</v>
      </c>
      <c r="E55" s="2206">
        <f t="shared" si="33"/>
        <v>335.92189522342125</v>
      </c>
      <c r="F55" s="2206">
        <f t="shared" si="33"/>
        <v>183.10139991109489</v>
      </c>
      <c r="G55" s="3785">
        <v>2010</v>
      </c>
      <c r="H55" s="2218">
        <v>2</v>
      </c>
      <c r="I55" s="2218">
        <v>4.6900000000000004</v>
      </c>
      <c r="J55" s="2218">
        <v>3.55</v>
      </c>
      <c r="K55" s="2218">
        <v>5.07</v>
      </c>
      <c r="L55" s="2219">
        <v>4.2300000000000004</v>
      </c>
      <c r="N55" s="2208">
        <f t="shared" si="22"/>
        <v>4.6900000000000004E-2</v>
      </c>
      <c r="O55" s="2193">
        <f t="shared" si="22"/>
        <v>3.5499999999999997E-2</v>
      </c>
      <c r="P55" s="2193">
        <f t="shared" si="22"/>
        <v>5.0700000000000002E-2</v>
      </c>
      <c r="Q55" s="2193">
        <f t="shared" si="22"/>
        <v>4.2300000000000004E-2</v>
      </c>
      <c r="R55" s="2209"/>
      <c r="S55" s="2208"/>
      <c r="T55" s="2193"/>
      <c r="U55" s="2193"/>
      <c r="V55" s="2193"/>
    </row>
    <row r="56" spans="1:26" ht="13.5" thickBot="1">
      <c r="A56" s="2205" t="s">
        <v>480</v>
      </c>
      <c r="B56" s="2206">
        <f t="shared" si="32"/>
        <v>232.06990378821649</v>
      </c>
      <c r="C56" s="2206">
        <f t="shared" si="32"/>
        <v>192.74878854286936</v>
      </c>
      <c r="D56" s="2206">
        <f t="shared" si="20"/>
        <v>192.74878854286936</v>
      </c>
      <c r="E56" s="2206">
        <f t="shared" si="33"/>
        <v>319.71247284992984</v>
      </c>
      <c r="F56" s="2206">
        <f t="shared" si="33"/>
        <v>175.67053622862409</v>
      </c>
      <c r="G56" s="3786">
        <v>2010</v>
      </c>
      <c r="H56" s="2207">
        <v>1</v>
      </c>
      <c r="I56" s="2207">
        <v>5.4</v>
      </c>
      <c r="J56" s="2207">
        <v>3.2</v>
      </c>
      <c r="K56" s="2207">
        <v>6.16</v>
      </c>
      <c r="L56" s="2213">
        <v>4.51</v>
      </c>
      <c r="N56" s="2208">
        <f t="shared" si="22"/>
        <v>5.4000000000000006E-2</v>
      </c>
      <c r="O56" s="2193">
        <f t="shared" si="22"/>
        <v>3.2000000000000001E-2</v>
      </c>
      <c r="P56" s="2193">
        <f t="shared" si="22"/>
        <v>6.1600000000000002E-2</v>
      </c>
      <c r="Q56" s="2193">
        <f t="shared" si="22"/>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0"/>
        <v>187</v>
      </c>
      <c r="E57" s="2220">
        <v>301</v>
      </c>
      <c r="F57" s="2221">
        <v>168</v>
      </c>
      <c r="G57" s="3784">
        <v>2009</v>
      </c>
      <c r="H57" s="2226">
        <v>4</v>
      </c>
      <c r="I57" s="2226">
        <v>2.2999999999999998</v>
      </c>
      <c r="J57" s="2226">
        <v>1.04</v>
      </c>
      <c r="K57" s="2226">
        <v>2.84</v>
      </c>
      <c r="L57" s="2227">
        <v>0.67</v>
      </c>
      <c r="N57" s="2228">
        <f t="shared" si="22"/>
        <v>2.3E-2</v>
      </c>
      <c r="O57" s="2229">
        <f t="shared" si="22"/>
        <v>1.04E-2</v>
      </c>
      <c r="P57" s="2229">
        <f t="shared" si="22"/>
        <v>2.8399999999999998E-2</v>
      </c>
      <c r="Q57" s="2229">
        <f t="shared" si="22"/>
        <v>6.7000000000000002E-3</v>
      </c>
      <c r="R57" s="2209"/>
      <c r="S57" s="2222"/>
      <c r="T57" s="2223"/>
      <c r="U57" s="2223"/>
      <c r="V57" s="2223"/>
      <c r="X57" s="2223"/>
      <c r="Y57" s="2223"/>
      <c r="Z57" s="2223"/>
    </row>
    <row r="58" spans="1:26">
      <c r="A58" s="2205" t="s">
        <v>482</v>
      </c>
      <c r="B58" s="2206">
        <f t="shared" ref="B58:C60" si="34">B57/(1+N57)</f>
        <v>215.05376344086022</v>
      </c>
      <c r="C58" s="2206">
        <f t="shared" si="34"/>
        <v>185.0752177355503</v>
      </c>
      <c r="D58" s="2206">
        <f t="shared" si="20"/>
        <v>185.0752177355503</v>
      </c>
      <c r="E58" s="2206">
        <f t="shared" ref="E58:F60" si="35">E57/(1+P57)</f>
        <v>292.68767016725008</v>
      </c>
      <c r="F58" s="2206">
        <f t="shared" si="35"/>
        <v>166.88189132810174</v>
      </c>
      <c r="G58" s="3785">
        <v>2009</v>
      </c>
      <c r="H58" s="2231">
        <v>3</v>
      </c>
      <c r="I58" s="2231">
        <v>2.1</v>
      </c>
      <c r="J58" s="2231">
        <v>1.86</v>
      </c>
      <c r="K58" s="2231">
        <v>2.29</v>
      </c>
      <c r="L58" s="2232">
        <v>0.85</v>
      </c>
      <c r="N58" s="2208">
        <f t="shared" si="22"/>
        <v>2.1000000000000001E-2</v>
      </c>
      <c r="O58" s="2233">
        <f t="shared" si="22"/>
        <v>1.8600000000000002E-2</v>
      </c>
      <c r="P58" s="2233">
        <f t="shared" si="22"/>
        <v>2.29E-2</v>
      </c>
      <c r="Q58" s="2233">
        <f t="shared" si="22"/>
        <v>8.5000000000000006E-3</v>
      </c>
      <c r="R58" s="2209"/>
      <c r="S58" s="2208"/>
      <c r="T58" s="2193"/>
      <c r="U58" s="2193"/>
      <c r="V58" s="2193"/>
    </row>
    <row r="59" spans="1:26">
      <c r="A59" s="2205" t="s">
        <v>483</v>
      </c>
      <c r="B59" s="2206">
        <f t="shared" si="34"/>
        <v>210.630522469011</v>
      </c>
      <c r="C59" s="2206">
        <f t="shared" si="34"/>
        <v>181.69567812247232</v>
      </c>
      <c r="D59" s="2206">
        <f t="shared" si="20"/>
        <v>181.69567812247232</v>
      </c>
      <c r="E59" s="2206">
        <f t="shared" si="35"/>
        <v>286.13517466736738</v>
      </c>
      <c r="F59" s="2206">
        <f t="shared" si="35"/>
        <v>165.47535084591149</v>
      </c>
      <c r="G59" s="3785">
        <v>2009</v>
      </c>
      <c r="H59" s="2218">
        <v>2</v>
      </c>
      <c r="I59" s="2218">
        <v>0.86</v>
      </c>
      <c r="J59" s="2218">
        <v>-1.1299999999999999</v>
      </c>
      <c r="K59" s="2218">
        <v>1.79</v>
      </c>
      <c r="L59" s="2219">
        <v>-2.0699999999999998</v>
      </c>
      <c r="N59" s="2208">
        <f t="shared" si="22"/>
        <v>8.6E-3</v>
      </c>
      <c r="O59" s="2233">
        <f t="shared" si="22"/>
        <v>-1.1299999999999999E-2</v>
      </c>
      <c r="P59" s="2233">
        <f t="shared" si="22"/>
        <v>1.7899999999999999E-2</v>
      </c>
      <c r="Q59" s="2233">
        <f t="shared" si="22"/>
        <v>-2.07E-2</v>
      </c>
      <c r="R59" s="2209"/>
      <c r="S59" s="2208"/>
      <c r="T59" s="2193"/>
      <c r="U59" s="2193"/>
      <c r="V59" s="2193"/>
    </row>
    <row r="60" spans="1:26">
      <c r="A60" s="2205" t="s">
        <v>484</v>
      </c>
      <c r="B60" s="2206">
        <f t="shared" si="34"/>
        <v>208.83454537875372</v>
      </c>
      <c r="C60" s="2206">
        <f t="shared" si="34"/>
        <v>183.77230517090351</v>
      </c>
      <c r="D60" s="2206">
        <f t="shared" si="20"/>
        <v>183.77230517090351</v>
      </c>
      <c r="E60" s="2206">
        <f t="shared" si="35"/>
        <v>281.10342338870947</v>
      </c>
      <c r="F60" s="2206">
        <f t="shared" si="35"/>
        <v>168.97309388942256</v>
      </c>
      <c r="G60" s="3786">
        <v>2009</v>
      </c>
      <c r="H60" s="2207">
        <v>1</v>
      </c>
      <c r="I60" s="2207">
        <v>-2.64</v>
      </c>
      <c r="J60" s="2207">
        <v>-2.5299999999999998</v>
      </c>
      <c r="K60" s="2207">
        <v>-3.02</v>
      </c>
      <c r="L60" s="2213">
        <v>1.52</v>
      </c>
      <c r="N60" s="2224">
        <f t="shared" si="22"/>
        <v>-2.64E-2</v>
      </c>
      <c r="O60" s="2225">
        <f t="shared" si="22"/>
        <v>-2.53E-2</v>
      </c>
      <c r="P60" s="2225">
        <f t="shared" si="22"/>
        <v>-3.0200000000000001E-2</v>
      </c>
      <c r="Q60" s="2225">
        <f t="shared" si="22"/>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0"/>
        <v>188</v>
      </c>
      <c r="E61" s="2255">
        <v>289</v>
      </c>
      <c r="F61" s="2256">
        <v>166</v>
      </c>
      <c r="G61" s="3784">
        <v>2008</v>
      </c>
      <c r="H61" s="2226">
        <v>4</v>
      </c>
      <c r="I61" s="2226">
        <v>1.73</v>
      </c>
      <c r="J61" s="2226">
        <v>0.03</v>
      </c>
      <c r="K61" s="2226">
        <v>2.59</v>
      </c>
      <c r="L61" s="2227">
        <v>-1.66</v>
      </c>
      <c r="N61" s="2208">
        <f t="shared" si="22"/>
        <v>1.7299999999999999E-2</v>
      </c>
      <c r="O61" s="2193">
        <f t="shared" si="22"/>
        <v>2.9999999999999997E-4</v>
      </c>
      <c r="P61" s="2193">
        <f t="shared" si="22"/>
        <v>2.5899999999999999E-2</v>
      </c>
      <c r="Q61" s="2193">
        <f t="shared" si="22"/>
        <v>-1.66E-2</v>
      </c>
      <c r="R61" s="2209"/>
      <c r="S61" s="2222"/>
      <c r="T61" s="2223"/>
      <c r="U61" s="2223"/>
      <c r="V61" s="2223"/>
      <c r="X61" s="2223"/>
      <c r="Y61" s="2223"/>
      <c r="Z61" s="2223"/>
    </row>
    <row r="62" spans="1:26">
      <c r="A62" s="2205" t="s">
        <v>486</v>
      </c>
      <c r="B62" s="2206">
        <f t="shared" ref="B62:C64" si="36">B61/(1+N61)</f>
        <v>210.36075887152265</v>
      </c>
      <c r="C62" s="2206">
        <f t="shared" si="36"/>
        <v>187.94361691492554</v>
      </c>
      <c r="D62" s="2206">
        <f t="shared" si="20"/>
        <v>187.94361691492554</v>
      </c>
      <c r="E62" s="2206">
        <f t="shared" ref="E62:F64" si="37">E61/(1+P61)</f>
        <v>281.70386977288234</v>
      </c>
      <c r="F62" s="2206">
        <f t="shared" si="37"/>
        <v>168.80211511083994</v>
      </c>
      <c r="G62" s="3785">
        <v>2008</v>
      </c>
      <c r="H62" s="2231">
        <v>3</v>
      </c>
      <c r="I62" s="2231">
        <v>1.96</v>
      </c>
      <c r="J62" s="2231">
        <v>2.36</v>
      </c>
      <c r="K62" s="2231">
        <v>1.82</v>
      </c>
      <c r="L62" s="2232">
        <v>2.2200000000000002</v>
      </c>
      <c r="N62" s="2208">
        <f t="shared" si="22"/>
        <v>1.9599999999999999E-2</v>
      </c>
      <c r="O62" s="2193">
        <f t="shared" si="22"/>
        <v>2.3599999999999999E-2</v>
      </c>
      <c r="P62" s="2193">
        <f t="shared" si="22"/>
        <v>1.8200000000000001E-2</v>
      </c>
      <c r="Q62" s="2193">
        <f t="shared" si="22"/>
        <v>2.2200000000000001E-2</v>
      </c>
      <c r="R62" s="2209"/>
      <c r="S62" s="2208"/>
      <c r="T62" s="2193"/>
      <c r="U62" s="2193"/>
      <c r="V62" s="2193"/>
    </row>
    <row r="63" spans="1:26">
      <c r="A63" s="2205" t="s">
        <v>487</v>
      </c>
      <c r="B63" s="2206">
        <f t="shared" si="36"/>
        <v>206.31694671589116</v>
      </c>
      <c r="C63" s="2206">
        <f t="shared" si="36"/>
        <v>183.61041121036101</v>
      </c>
      <c r="D63" s="2206">
        <f t="shared" si="20"/>
        <v>183.61041121036101</v>
      </c>
      <c r="E63" s="2206">
        <f t="shared" si="37"/>
        <v>276.66850301795557</v>
      </c>
      <c r="F63" s="2206">
        <f t="shared" si="37"/>
        <v>165.1360938278614</v>
      </c>
      <c r="G63" s="3785">
        <v>2008</v>
      </c>
      <c r="H63" s="2218">
        <v>2</v>
      </c>
      <c r="I63" s="2218">
        <v>4.93</v>
      </c>
      <c r="J63" s="2218">
        <v>7.38</v>
      </c>
      <c r="K63" s="2218">
        <v>3.98</v>
      </c>
      <c r="L63" s="2219">
        <v>6.86</v>
      </c>
      <c r="N63" s="2208">
        <f t="shared" si="22"/>
        <v>4.9299999999999997E-2</v>
      </c>
      <c r="O63" s="2193">
        <f t="shared" si="22"/>
        <v>7.3800000000000004E-2</v>
      </c>
      <c r="P63" s="2193">
        <f t="shared" si="22"/>
        <v>3.9800000000000002E-2</v>
      </c>
      <c r="Q63" s="2193">
        <f t="shared" si="22"/>
        <v>6.8600000000000008E-2</v>
      </c>
      <c r="R63" s="2209"/>
      <c r="S63" s="2208"/>
      <c r="T63" s="2193"/>
      <c r="U63" s="2193"/>
      <c r="V63" s="2193"/>
    </row>
    <row r="64" spans="1:26" s="2261" customFormat="1" ht="13.5" thickBot="1">
      <c r="A64" s="2205" t="s">
        <v>488</v>
      </c>
      <c r="B64" s="2258">
        <f t="shared" si="36"/>
        <v>196.62341248059772</v>
      </c>
      <c r="C64" s="2258">
        <f t="shared" si="36"/>
        <v>170.99125648199012</v>
      </c>
      <c r="D64" s="2258">
        <f t="shared" si="20"/>
        <v>170.99125648199012</v>
      </c>
      <c r="E64" s="2258">
        <f t="shared" si="37"/>
        <v>266.07857570490052</v>
      </c>
      <c r="F64" s="2258">
        <f t="shared" si="37"/>
        <v>154.53499328828505</v>
      </c>
      <c r="G64" s="3786">
        <v>2008</v>
      </c>
      <c r="H64" s="2259">
        <v>1</v>
      </c>
      <c r="I64" s="2259">
        <v>4.1399999999999997</v>
      </c>
      <c r="J64" s="2259">
        <v>3.45</v>
      </c>
      <c r="K64" s="2259">
        <v>4.95</v>
      </c>
      <c r="L64" s="2260">
        <v>4.82</v>
      </c>
      <c r="N64" s="2262">
        <f t="shared" si="22"/>
        <v>4.1399999999999999E-2</v>
      </c>
      <c r="O64" s="2263">
        <f t="shared" si="22"/>
        <v>3.4500000000000003E-2</v>
      </c>
      <c r="P64" s="2263">
        <f t="shared" si="22"/>
        <v>4.9500000000000002E-2</v>
      </c>
      <c r="Q64" s="2263">
        <f t="shared" si="22"/>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0"/>
        <v>165</v>
      </c>
      <c r="E65" s="2220">
        <v>254</v>
      </c>
      <c r="F65" s="2221">
        <v>148</v>
      </c>
      <c r="G65" s="3784">
        <v>2007</v>
      </c>
      <c r="H65" s="2265">
        <v>4</v>
      </c>
      <c r="I65" s="2265">
        <v>5.51</v>
      </c>
      <c r="J65" s="2265">
        <v>4.8899999999999997</v>
      </c>
      <c r="K65" s="2265">
        <v>6.43</v>
      </c>
      <c r="L65" s="2266">
        <v>5.36</v>
      </c>
      <c r="N65" s="2267">
        <f t="shared" ref="N65:O68" si="38">B65/B66-1</f>
        <v>4.1339718365245526E-2</v>
      </c>
      <c r="O65" s="2268">
        <f t="shared" si="38"/>
        <v>4.0324492593776018E-2</v>
      </c>
      <c r="P65" s="2268">
        <f t="shared" ref="P65:Q68" si="39">E65/E66-1</f>
        <v>6.1625555347990968E-2</v>
      </c>
      <c r="Q65" s="2268">
        <f t="shared" si="39"/>
        <v>4.6757569250590603E-2</v>
      </c>
      <c r="R65" s="2209"/>
      <c r="S65" s="2222"/>
      <c r="T65" s="2223"/>
      <c r="U65" s="2223"/>
      <c r="V65" s="2223"/>
      <c r="X65" s="2223"/>
      <c r="Y65" s="2223"/>
      <c r="Z65" s="2223"/>
    </row>
    <row r="66" spans="1:26">
      <c r="A66" s="2205" t="s">
        <v>490</v>
      </c>
      <c r="B66" s="2206">
        <f t="shared" ref="B66:C68" si="40">B67+(B$65-B$69)*I66/SUM(I$65:I$68)</f>
        <v>180.5366651097618</v>
      </c>
      <c r="C66" s="2206">
        <f t="shared" si="40"/>
        <v>158.60435967302453</v>
      </c>
      <c r="D66" s="2206">
        <f t="shared" si="20"/>
        <v>158.60435967302453</v>
      </c>
      <c r="E66" s="2206">
        <f t="shared" ref="E66:F68" si="41">E67+(E$65-E$69)*K66/SUM(K$65:K$68)</f>
        <v>239.25573260785075</v>
      </c>
      <c r="F66" s="2206">
        <f t="shared" si="41"/>
        <v>141.38899430740037</v>
      </c>
      <c r="G66" s="3785">
        <v>2007</v>
      </c>
      <c r="H66" s="2231">
        <v>3</v>
      </c>
      <c r="I66" s="2231">
        <v>8.65</v>
      </c>
      <c r="J66" s="2231">
        <v>8.06</v>
      </c>
      <c r="K66" s="2231">
        <v>9.94</v>
      </c>
      <c r="L66" s="2232">
        <v>5.8</v>
      </c>
      <c r="N66" s="2267">
        <f t="shared" si="38"/>
        <v>6.940217571740015E-2</v>
      </c>
      <c r="O66" s="2268">
        <f t="shared" si="38"/>
        <v>7.1197482471153428E-2</v>
      </c>
      <c r="P66" s="2268">
        <f t="shared" si="39"/>
        <v>0.10529679922579582</v>
      </c>
      <c r="Q66" s="2268">
        <f t="shared" si="39"/>
        <v>5.3292245059512133E-2</v>
      </c>
      <c r="R66" s="2209"/>
      <c r="S66" s="2208"/>
      <c r="T66" s="2193"/>
      <c r="U66" s="2193"/>
      <c r="V66" s="2193"/>
      <c r="X66" s="2269"/>
      <c r="Y66" s="2269"/>
      <c r="Z66" s="2269"/>
    </row>
    <row r="67" spans="1:26">
      <c r="A67" s="2205" t="s">
        <v>491</v>
      </c>
      <c r="B67" s="2206">
        <f t="shared" si="40"/>
        <v>168.82017748715555</v>
      </c>
      <c r="C67" s="2206">
        <f t="shared" si="40"/>
        <v>148.06267029972753</v>
      </c>
      <c r="D67" s="2206">
        <f t="shared" si="20"/>
        <v>148.06267029972753</v>
      </c>
      <c r="E67" s="2206">
        <f t="shared" si="41"/>
        <v>216.46288379323747</v>
      </c>
      <c r="F67" s="2206">
        <f t="shared" si="41"/>
        <v>134.23529411764704</v>
      </c>
      <c r="G67" s="3785">
        <v>2007</v>
      </c>
      <c r="H67" s="2218">
        <v>2</v>
      </c>
      <c r="I67" s="2218">
        <v>3.67</v>
      </c>
      <c r="J67" s="2218">
        <v>2.3199999999999998</v>
      </c>
      <c r="K67" s="2218">
        <v>5.0199999999999996</v>
      </c>
      <c r="L67" s="2219">
        <v>6.71</v>
      </c>
      <c r="N67" s="2267">
        <f t="shared" si="38"/>
        <v>3.0339138143848032E-2</v>
      </c>
      <c r="O67" s="2268">
        <f t="shared" si="38"/>
        <v>2.0922341588790472E-2</v>
      </c>
      <c r="P67" s="2268">
        <f t="shared" si="39"/>
        <v>5.6164796592717003E-2</v>
      </c>
      <c r="Q67" s="2268">
        <f t="shared" si="39"/>
        <v>6.5704536723887319E-2</v>
      </c>
      <c r="R67" s="2209"/>
      <c r="S67" s="2208"/>
      <c r="T67" s="2193"/>
      <c r="U67" s="2193"/>
      <c r="V67" s="2193"/>
      <c r="X67" s="2269"/>
      <c r="Y67" s="2269"/>
      <c r="Z67" s="2269"/>
    </row>
    <row r="68" spans="1:26">
      <c r="A68" s="2205" t="s">
        <v>492</v>
      </c>
      <c r="B68" s="2206">
        <f t="shared" si="40"/>
        <v>163.84913591779542</v>
      </c>
      <c r="C68" s="2206">
        <f t="shared" si="40"/>
        <v>145.0283378746594</v>
      </c>
      <c r="D68" s="2206">
        <f t="shared" si="20"/>
        <v>145.0283378746594</v>
      </c>
      <c r="E68" s="2206">
        <f t="shared" si="41"/>
        <v>204.95180722891567</v>
      </c>
      <c r="F68" s="2206">
        <f t="shared" si="41"/>
        <v>125.95920303605313</v>
      </c>
      <c r="G68" s="3786">
        <v>2007</v>
      </c>
      <c r="H68" s="2207">
        <v>1</v>
      </c>
      <c r="I68" s="2207">
        <v>3.58</v>
      </c>
      <c r="J68" s="2207">
        <v>3.08</v>
      </c>
      <c r="K68" s="2207">
        <v>4.34</v>
      </c>
      <c r="L68" s="2213">
        <v>3.21</v>
      </c>
      <c r="N68" s="2270">
        <f t="shared" si="38"/>
        <v>3.0497710174814063E-2</v>
      </c>
      <c r="O68" s="2271">
        <f t="shared" si="38"/>
        <v>2.8569772160704998E-2</v>
      </c>
      <c r="P68" s="2271">
        <f t="shared" si="39"/>
        <v>5.1034908866234296E-2</v>
      </c>
      <c r="Q68" s="2271">
        <f t="shared" si="39"/>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0"/>
        <v>141</v>
      </c>
      <c r="E69" s="2234">
        <v>195</v>
      </c>
      <c r="F69" s="2235">
        <v>122</v>
      </c>
      <c r="G69" s="3784">
        <v>2006</v>
      </c>
      <c r="H69" s="2226">
        <v>4</v>
      </c>
      <c r="I69" s="2226">
        <v>3.79</v>
      </c>
      <c r="J69" s="2226">
        <v>2.21</v>
      </c>
      <c r="K69" s="2226">
        <v>5.65</v>
      </c>
      <c r="L69" s="2227">
        <v>5.41</v>
      </c>
      <c r="N69" s="2267">
        <f t="shared" ref="N69:O72" si="42">I69/SUM(I$69:I$72)*(B$69/B$73-1)</f>
        <v>7.245466462748526E-2</v>
      </c>
      <c r="O69" s="2268">
        <f t="shared" si="42"/>
        <v>2.3237230038062766E-2</v>
      </c>
      <c r="P69" s="2268">
        <f t="shared" ref="P69:Q72" si="43">K69/SUM(K$69:K$72)*(E$69/E$73-1)</f>
        <v>0.16146893866323722</v>
      </c>
      <c r="Q69" s="2268">
        <f t="shared" si="43"/>
        <v>5.0755230321793784E-2</v>
      </c>
      <c r="R69" s="2209"/>
      <c r="S69" s="2222"/>
      <c r="T69" s="2223"/>
      <c r="U69" s="2223"/>
      <c r="V69" s="2223"/>
      <c r="X69" s="2269"/>
      <c r="Y69" s="2269"/>
      <c r="Z69" s="2269"/>
    </row>
    <row r="70" spans="1:26">
      <c r="A70" s="2205" t="s">
        <v>494</v>
      </c>
      <c r="B70" s="2206">
        <f t="shared" ref="B70:C72" si="44">B71+(B$69-B$73)*I70/SUM(I$69:I$72)</f>
        <v>149.00125628140702</v>
      </c>
      <c r="C70" s="2206">
        <f t="shared" si="44"/>
        <v>137.95592286501378</v>
      </c>
      <c r="D70" s="2206">
        <f t="shared" si="20"/>
        <v>137.95592286501378</v>
      </c>
      <c r="E70" s="2206">
        <f t="shared" ref="E70:F72" si="45">E71+(E$69-E$73)*K70/SUM(K$69:K$72)</f>
        <v>169.97231450719823</v>
      </c>
      <c r="F70" s="2206">
        <f t="shared" si="45"/>
        <v>116.21390374331551</v>
      </c>
      <c r="G70" s="3785">
        <v>2006</v>
      </c>
      <c r="H70" s="2231">
        <v>3</v>
      </c>
      <c r="I70" s="2231">
        <v>0.92</v>
      </c>
      <c r="J70" s="2231">
        <v>1.08</v>
      </c>
      <c r="K70" s="2231">
        <v>0.73</v>
      </c>
      <c r="L70" s="2232">
        <v>1.08</v>
      </c>
      <c r="N70" s="2267">
        <f t="shared" si="42"/>
        <v>1.7587939698492462E-2</v>
      </c>
      <c r="O70" s="2268">
        <f t="shared" si="42"/>
        <v>1.1355750425840628E-2</v>
      </c>
      <c r="P70" s="2268">
        <f t="shared" si="43"/>
        <v>2.0862358446754544E-2</v>
      </c>
      <c r="Q70" s="2268">
        <f t="shared" si="43"/>
        <v>1.0132282578103011E-2</v>
      </c>
      <c r="R70" s="2209"/>
      <c r="S70" s="2208"/>
      <c r="T70" s="2193"/>
      <c r="U70" s="2193"/>
      <c r="V70" s="2193"/>
      <c r="X70" s="2269"/>
      <c r="Y70" s="2269"/>
      <c r="Z70" s="2269"/>
    </row>
    <row r="71" spans="1:26">
      <c r="A71" s="2205" t="s">
        <v>495</v>
      </c>
      <c r="B71" s="2206">
        <f t="shared" si="44"/>
        <v>146.57412060301507</v>
      </c>
      <c r="C71" s="2206">
        <f t="shared" si="44"/>
        <v>136.46831955922866</v>
      </c>
      <c r="D71" s="2206">
        <f t="shared" si="20"/>
        <v>136.46831955922866</v>
      </c>
      <c r="E71" s="2206">
        <f t="shared" si="45"/>
        <v>166.73864894795128</v>
      </c>
      <c r="F71" s="2206">
        <f t="shared" si="45"/>
        <v>115.05882352941177</v>
      </c>
      <c r="G71" s="3785">
        <v>2006</v>
      </c>
      <c r="H71" s="2218">
        <v>2</v>
      </c>
      <c r="I71" s="2218">
        <v>0.96</v>
      </c>
      <c r="J71" s="2218">
        <v>0.25</v>
      </c>
      <c r="K71" s="2218">
        <v>1.9</v>
      </c>
      <c r="L71" s="2219">
        <v>0.95</v>
      </c>
      <c r="N71" s="2267">
        <f t="shared" si="42"/>
        <v>1.8352632728861701E-2</v>
      </c>
      <c r="O71" s="2268">
        <f t="shared" si="42"/>
        <v>2.6286459319075526E-3</v>
      </c>
      <c r="P71" s="2268">
        <f t="shared" si="43"/>
        <v>5.4299289107991269E-2</v>
      </c>
      <c r="Q71" s="2268">
        <f t="shared" si="43"/>
        <v>8.9126559714794995E-3</v>
      </c>
      <c r="R71" s="2209"/>
      <c r="S71" s="2208"/>
      <c r="T71" s="2193"/>
      <c r="U71" s="2193"/>
      <c r="V71" s="2193"/>
      <c r="X71" s="2269"/>
      <c r="Y71" s="2269"/>
      <c r="Z71" s="2269"/>
    </row>
    <row r="72" spans="1:26">
      <c r="A72" s="2205" t="s">
        <v>496</v>
      </c>
      <c r="B72" s="2206">
        <f t="shared" si="44"/>
        <v>144.04145728643215</v>
      </c>
      <c r="C72" s="2206">
        <f t="shared" si="44"/>
        <v>136.12396694214877</v>
      </c>
      <c r="D72" s="2206">
        <f t="shared" si="20"/>
        <v>136.12396694214877</v>
      </c>
      <c r="E72" s="2206">
        <f t="shared" si="45"/>
        <v>158.32225913621264</v>
      </c>
      <c r="F72" s="2206">
        <f t="shared" si="45"/>
        <v>114.04278074866311</v>
      </c>
      <c r="G72" s="3786">
        <v>2006</v>
      </c>
      <c r="H72" s="2207">
        <v>1</v>
      </c>
      <c r="I72" s="2207">
        <v>2.29</v>
      </c>
      <c r="J72" s="2207">
        <v>3.72</v>
      </c>
      <c r="K72" s="2207">
        <v>0.75</v>
      </c>
      <c r="L72" s="2213">
        <v>0.04</v>
      </c>
      <c r="N72" s="2270">
        <f t="shared" si="42"/>
        <v>4.3778675988638847E-2</v>
      </c>
      <c r="O72" s="2271">
        <f t="shared" si="42"/>
        <v>3.9114251466784385E-2</v>
      </c>
      <c r="P72" s="2271">
        <f t="shared" si="43"/>
        <v>2.1433929911049188E-2</v>
      </c>
      <c r="Q72" s="2271">
        <f t="shared" si="43"/>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0"/>
        <v>131</v>
      </c>
      <c r="E73" s="2234">
        <v>155</v>
      </c>
      <c r="F73" s="2235">
        <v>114</v>
      </c>
      <c r="G73" s="3784">
        <v>2005</v>
      </c>
      <c r="H73" s="2226">
        <v>4</v>
      </c>
      <c r="I73" s="2226">
        <v>3.29</v>
      </c>
      <c r="J73" s="2226">
        <v>1.44</v>
      </c>
      <c r="K73" s="2226">
        <v>0.66</v>
      </c>
      <c r="L73" s="2227">
        <v>7.78</v>
      </c>
      <c r="N73" s="2267">
        <f t="shared" ref="N73:O76" si="46">I73/SUM(I$73:I$76)*(B$73/B$77-1)</f>
        <v>9.9404603216919935E-2</v>
      </c>
      <c r="O73" s="2268">
        <f t="shared" si="46"/>
        <v>4.7636550760861554E-2</v>
      </c>
      <c r="P73" s="2268">
        <f t="shared" ref="P73:Q76" si="47">K73/SUM(K$73:K$76)*(E$73/E$77-1)</f>
        <v>8.3756345177664976E-2</v>
      </c>
      <c r="Q73" s="2268">
        <f t="shared" si="47"/>
        <v>5.2148766661559584E-2</v>
      </c>
      <c r="R73" s="2209"/>
      <c r="S73" s="2222"/>
      <c r="T73" s="2223"/>
      <c r="U73" s="2223"/>
      <c r="V73" s="2223"/>
      <c r="X73" s="2269"/>
      <c r="Y73" s="2269"/>
      <c r="Z73" s="2269"/>
    </row>
    <row r="74" spans="1:26">
      <c r="A74" s="2205" t="s">
        <v>498</v>
      </c>
      <c r="B74" s="2206">
        <f t="shared" ref="B74:C76" si="48">B75+(B$73-B$77)*I74/SUM(I$73:I$76)</f>
        <v>125.9720430107527</v>
      </c>
      <c r="C74" s="2206">
        <f t="shared" si="48"/>
        <v>125.1883408071749</v>
      </c>
      <c r="D74" s="2206">
        <f t="shared" si="20"/>
        <v>125.1883408071749</v>
      </c>
      <c r="E74" s="2206">
        <f t="shared" ref="E74:F76" si="49">E75+(E$73-E$77)*K74/SUM(K$73:K$76)</f>
        <v>144.61421319796952</v>
      </c>
      <c r="F74" s="2206">
        <f t="shared" si="49"/>
        <v>108.42008196721311</v>
      </c>
      <c r="G74" s="3785">
        <v>2005</v>
      </c>
      <c r="H74" s="2231">
        <v>3</v>
      </c>
      <c r="I74" s="2231">
        <v>0.46</v>
      </c>
      <c r="J74" s="2231">
        <v>0.32</v>
      </c>
      <c r="K74" s="2231">
        <v>0.42</v>
      </c>
      <c r="L74" s="2232">
        <v>0.64</v>
      </c>
      <c r="N74" s="2267">
        <f t="shared" si="46"/>
        <v>1.3898515951301874E-2</v>
      </c>
      <c r="O74" s="2268">
        <f t="shared" si="46"/>
        <v>1.0585900169080346E-2</v>
      </c>
      <c r="P74" s="2268">
        <f t="shared" si="47"/>
        <v>5.3299492385786795E-2</v>
      </c>
      <c r="Q74" s="2268">
        <f t="shared" si="47"/>
        <v>4.2898728359123568E-3</v>
      </c>
      <c r="R74" s="2209"/>
      <c r="S74" s="2208"/>
      <c r="T74" s="2193"/>
      <c r="U74" s="2193"/>
      <c r="V74" s="2193"/>
      <c r="X74" s="2269"/>
      <c r="Y74" s="2269"/>
      <c r="Z74" s="2269"/>
    </row>
    <row r="75" spans="1:26">
      <c r="A75" s="2205" t="s">
        <v>499</v>
      </c>
      <c r="B75" s="2206">
        <f t="shared" si="48"/>
        <v>124.29032258064517</v>
      </c>
      <c r="C75" s="2206">
        <f t="shared" si="48"/>
        <v>123.8968609865471</v>
      </c>
      <c r="D75" s="2206">
        <f t="shared" si="20"/>
        <v>123.8968609865471</v>
      </c>
      <c r="E75" s="2206">
        <f t="shared" si="49"/>
        <v>138.00507614213197</v>
      </c>
      <c r="F75" s="2206">
        <f t="shared" si="49"/>
        <v>107.96106557377048</v>
      </c>
      <c r="G75" s="3785">
        <v>2005</v>
      </c>
      <c r="H75" s="2218">
        <v>2</v>
      </c>
      <c r="I75" s="2218">
        <v>0.47</v>
      </c>
      <c r="J75" s="2218">
        <v>0.1</v>
      </c>
      <c r="K75" s="2218">
        <v>0.52</v>
      </c>
      <c r="L75" s="2219">
        <v>0.79</v>
      </c>
      <c r="N75" s="2267">
        <f t="shared" si="46"/>
        <v>1.420065760241713E-2</v>
      </c>
      <c r="O75" s="2268">
        <f t="shared" si="46"/>
        <v>3.3080938028376083E-3</v>
      </c>
      <c r="P75" s="2268">
        <f t="shared" si="47"/>
        <v>6.598984771573603E-2</v>
      </c>
      <c r="Q75" s="2268">
        <f t="shared" si="47"/>
        <v>5.2953117818293153E-3</v>
      </c>
      <c r="R75" s="2209"/>
      <c r="S75" s="2208"/>
      <c r="T75" s="2193"/>
      <c r="U75" s="2193"/>
      <c r="V75" s="2193"/>
      <c r="X75" s="2269"/>
      <c r="Y75" s="2269"/>
      <c r="Z75" s="2269"/>
    </row>
    <row r="76" spans="1:26">
      <c r="A76" s="2205" t="s">
        <v>500</v>
      </c>
      <c r="B76" s="2206">
        <f t="shared" si="48"/>
        <v>122.57204301075269</v>
      </c>
      <c r="C76" s="2206">
        <f t="shared" si="48"/>
        <v>123.4932735426009</v>
      </c>
      <c r="D76" s="2206">
        <f t="shared" si="20"/>
        <v>123.4932735426009</v>
      </c>
      <c r="E76" s="2206">
        <f t="shared" si="49"/>
        <v>129.82233502538071</v>
      </c>
      <c r="F76" s="2206">
        <f t="shared" si="49"/>
        <v>107.39446721311475</v>
      </c>
      <c r="G76" s="3786">
        <v>2005</v>
      </c>
      <c r="H76" s="2207">
        <v>1</v>
      </c>
      <c r="I76" s="2207">
        <v>0.43</v>
      </c>
      <c r="J76" s="2207">
        <v>0.37</v>
      </c>
      <c r="K76" s="2207">
        <v>0.37</v>
      </c>
      <c r="L76" s="2213">
        <v>0.55000000000000004</v>
      </c>
      <c r="N76" s="2270">
        <f t="shared" si="46"/>
        <v>1.2992090997956099E-2</v>
      </c>
      <c r="O76" s="2271">
        <f t="shared" si="46"/>
        <v>1.2239947070499151E-2</v>
      </c>
      <c r="P76" s="2271">
        <f t="shared" si="47"/>
        <v>4.6954314720812178E-2</v>
      </c>
      <c r="Q76" s="2271">
        <f t="shared" si="47"/>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0"/>
        <v>122</v>
      </c>
      <c r="E77" s="2255">
        <v>124</v>
      </c>
      <c r="F77" s="2256">
        <v>107</v>
      </c>
      <c r="G77" s="3784">
        <v>2004</v>
      </c>
      <c r="H77" s="2226">
        <v>4</v>
      </c>
      <c r="I77" s="2226">
        <v>0.33</v>
      </c>
      <c r="J77" s="2226">
        <v>0.5</v>
      </c>
      <c r="K77" s="2226">
        <v>0.5</v>
      </c>
      <c r="L77" s="2227">
        <v>0</v>
      </c>
      <c r="N77" s="2267">
        <f t="shared" ref="N77:O80" si="50">I77/SUM(I$77:I$80)*(B$77/B$81-1)</f>
        <v>1.3391770148526898E-2</v>
      </c>
      <c r="O77" s="2268">
        <f t="shared" si="50"/>
        <v>1.063264221158958E-2</v>
      </c>
      <c r="P77" s="2268">
        <f t="shared" ref="P77:Q80" si="51">K77/SUM(K$77:K$80)*(E$77/E$81-1)</f>
        <v>2.2244466688911134E-2</v>
      </c>
      <c r="Q77" s="2268">
        <f t="shared" si="51"/>
        <v>0</v>
      </c>
      <c r="R77" s="2209"/>
      <c r="S77" s="2222"/>
      <c r="T77" s="2223"/>
      <c r="U77" s="2223"/>
      <c r="V77" s="2223"/>
      <c r="X77" s="2269"/>
      <c r="Y77" s="2269"/>
      <c r="Z77" s="2269"/>
    </row>
    <row r="78" spans="1:26">
      <c r="A78" s="2205" t="s">
        <v>502</v>
      </c>
      <c r="B78" s="2206">
        <f t="shared" ref="B78:C80" si="52">B79+(B$77-B$81)*I78/SUM(I$77:I$80)</f>
        <v>119.51351351351352</v>
      </c>
      <c r="C78" s="2206">
        <f t="shared" si="52"/>
        <v>120.7878787878788</v>
      </c>
      <c r="D78" s="2206">
        <f t="shared" si="20"/>
        <v>120.7878787878788</v>
      </c>
      <c r="E78" s="2206">
        <f t="shared" ref="E78:F80" si="53">E79+(E$77-E$81)*K78/SUM(K$77:K$80)</f>
        <v>121.5975975975976</v>
      </c>
      <c r="F78" s="2206">
        <f t="shared" si="53"/>
        <v>107</v>
      </c>
      <c r="G78" s="3785">
        <v>2004</v>
      </c>
      <c r="H78" s="2231">
        <v>3</v>
      </c>
      <c r="I78" s="2231">
        <v>0.56000000000000005</v>
      </c>
      <c r="J78" s="2231">
        <v>0.8</v>
      </c>
      <c r="K78" s="2231">
        <v>0.83</v>
      </c>
      <c r="L78" s="2232">
        <v>0.06</v>
      </c>
      <c r="N78" s="2267">
        <f t="shared" si="50"/>
        <v>2.2725428130833527E-2</v>
      </c>
      <c r="O78" s="2268">
        <f t="shared" si="50"/>
        <v>1.7012227538543329E-2</v>
      </c>
      <c r="P78" s="2268">
        <f t="shared" si="51"/>
        <v>3.6925814703592477E-2</v>
      </c>
      <c r="Q78" s="2268">
        <f t="shared" si="51"/>
        <v>2.8846153846153744E-2</v>
      </c>
      <c r="R78" s="2209"/>
      <c r="S78" s="2208"/>
      <c r="T78" s="2193"/>
      <c r="U78" s="2193"/>
      <c r="V78" s="2193"/>
      <c r="X78" s="2269"/>
      <c r="Y78" s="2269"/>
      <c r="Z78" s="2269"/>
    </row>
    <row r="79" spans="1:26">
      <c r="A79" s="2205" t="s">
        <v>503</v>
      </c>
      <c r="B79" s="2206">
        <f t="shared" si="52"/>
        <v>116.99099099099099</v>
      </c>
      <c r="C79" s="2206">
        <f t="shared" si="52"/>
        <v>118.84848484848486</v>
      </c>
      <c r="D79" s="2206">
        <f t="shared" si="20"/>
        <v>118.84848484848486</v>
      </c>
      <c r="E79" s="2206">
        <f t="shared" si="53"/>
        <v>117.60960960960961</v>
      </c>
      <c r="F79" s="2206">
        <f t="shared" si="53"/>
        <v>104</v>
      </c>
      <c r="G79" s="3785">
        <v>2004</v>
      </c>
      <c r="H79" s="2218">
        <v>2</v>
      </c>
      <c r="I79" s="2218">
        <v>1</v>
      </c>
      <c r="J79" s="2218">
        <v>1.5</v>
      </c>
      <c r="K79" s="2218">
        <v>1.5</v>
      </c>
      <c r="L79" s="2219">
        <v>0</v>
      </c>
      <c r="N79" s="2267">
        <f t="shared" si="50"/>
        <v>4.0581121662202721E-2</v>
      </c>
      <c r="O79" s="2268">
        <f t="shared" si="50"/>
        <v>3.1897926634768738E-2</v>
      </c>
      <c r="P79" s="2268">
        <f t="shared" si="51"/>
        <v>6.6733400066733395E-2</v>
      </c>
      <c r="Q79" s="2268">
        <f t="shared" si="51"/>
        <v>0</v>
      </c>
      <c r="R79" s="2209"/>
      <c r="S79" s="2208"/>
      <c r="T79" s="2193"/>
      <c r="U79" s="2193"/>
      <c r="V79" s="2193"/>
      <c r="X79" s="2269"/>
      <c r="Y79" s="2269"/>
      <c r="Z79" s="2269"/>
    </row>
    <row r="80" spans="1:26" s="2261" customFormat="1" ht="13.5" thickBot="1">
      <c r="A80" s="2205" t="s">
        <v>504</v>
      </c>
      <c r="B80" s="2258">
        <f t="shared" si="52"/>
        <v>112.48648648648648</v>
      </c>
      <c r="C80" s="2258">
        <f t="shared" si="52"/>
        <v>115.21212121212122</v>
      </c>
      <c r="D80" s="2258">
        <f t="shared" si="20"/>
        <v>115.21212121212122</v>
      </c>
      <c r="E80" s="2258">
        <f t="shared" si="53"/>
        <v>110.4024024024024</v>
      </c>
      <c r="F80" s="2258">
        <f t="shared" si="53"/>
        <v>104</v>
      </c>
      <c r="G80" s="3786">
        <v>2004</v>
      </c>
      <c r="H80" s="2259">
        <v>1</v>
      </c>
      <c r="I80" s="2259">
        <v>0.33</v>
      </c>
      <c r="J80" s="2259">
        <v>0.5</v>
      </c>
      <c r="K80" s="2259">
        <v>0.5</v>
      </c>
      <c r="L80" s="2260">
        <v>0</v>
      </c>
      <c r="N80" s="2272">
        <f t="shared" si="50"/>
        <v>1.3391770148526898E-2</v>
      </c>
      <c r="O80" s="2273">
        <f t="shared" si="50"/>
        <v>1.063264221158958E-2</v>
      </c>
      <c r="P80" s="2273">
        <f t="shared" si="51"/>
        <v>2.2244466688911134E-2</v>
      </c>
      <c r="Q80" s="2273">
        <f t="shared" si="51"/>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0"/>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54">B83+(B$81-B$85)/4</f>
        <v>109.75</v>
      </c>
      <c r="C82" s="2279">
        <f t="shared" si="54"/>
        <v>112.25</v>
      </c>
      <c r="D82" s="2279">
        <f t="shared" si="20"/>
        <v>112.25</v>
      </c>
      <c r="E82" s="2279">
        <f t="shared" ref="E82:F84" si="55">E83+(E$81-E$85)/4</f>
        <v>107.25</v>
      </c>
      <c r="F82" s="2279">
        <f t="shared" si="55"/>
        <v>103.5</v>
      </c>
      <c r="G82" s="3785">
        <v>2003</v>
      </c>
      <c r="H82" s="2231">
        <v>3</v>
      </c>
      <c r="I82" s="2277"/>
      <c r="J82" s="2277"/>
      <c r="K82" s="2277"/>
      <c r="L82" s="2277"/>
      <c r="X82" s="2269"/>
      <c r="Y82" s="2269"/>
      <c r="Z82" s="2269"/>
    </row>
    <row r="83" spans="1:26">
      <c r="A83" s="2205" t="s">
        <v>507</v>
      </c>
      <c r="B83" s="2279">
        <f t="shared" si="54"/>
        <v>108.5</v>
      </c>
      <c r="C83" s="2279">
        <f t="shared" si="54"/>
        <v>110.5</v>
      </c>
      <c r="D83" s="2279">
        <f t="shared" si="20"/>
        <v>110.5</v>
      </c>
      <c r="E83" s="2279">
        <f t="shared" si="55"/>
        <v>106.5</v>
      </c>
      <c r="F83" s="2279">
        <f t="shared" si="55"/>
        <v>103</v>
      </c>
      <c r="G83" s="3785">
        <v>2003</v>
      </c>
      <c r="H83" s="2218">
        <v>2</v>
      </c>
      <c r="I83" s="2277"/>
      <c r="J83" s="2277"/>
      <c r="K83" s="2277"/>
      <c r="L83" s="2277"/>
      <c r="X83" s="2269"/>
      <c r="Y83" s="2269"/>
      <c r="Z83" s="2269"/>
    </row>
    <row r="84" spans="1:26" ht="13.5" thickBot="1">
      <c r="A84" s="2205" t="s">
        <v>508</v>
      </c>
      <c r="B84" s="2279">
        <f t="shared" si="54"/>
        <v>107.25</v>
      </c>
      <c r="C84" s="2279">
        <f t="shared" si="54"/>
        <v>108.75</v>
      </c>
      <c r="D84" s="2279">
        <f t="shared" si="20"/>
        <v>108.75</v>
      </c>
      <c r="E84" s="2279">
        <f t="shared" si="55"/>
        <v>105.75</v>
      </c>
      <c r="F84" s="2279">
        <f t="shared" si="55"/>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0"/>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56">B87+(B$85-B$89)/4</f>
        <v>105</v>
      </c>
      <c r="C86" s="2279">
        <f t="shared" si="56"/>
        <v>106</v>
      </c>
      <c r="D86" s="2279">
        <f t="shared" si="20"/>
        <v>106</v>
      </c>
      <c r="E86" s="2279">
        <f t="shared" ref="E86:F88" si="57">E87+(E$85-E$89)/4</f>
        <v>104.5</v>
      </c>
      <c r="F86" s="2279">
        <f t="shared" si="57"/>
        <v>101.5</v>
      </c>
      <c r="G86" s="3785">
        <v>2002</v>
      </c>
      <c r="H86" s="2231">
        <v>3</v>
      </c>
      <c r="I86" s="2277"/>
      <c r="J86" s="2277"/>
      <c r="K86" s="2277"/>
      <c r="L86" s="2277"/>
      <c r="X86" s="2269"/>
      <c r="Y86" s="2269"/>
      <c r="Z86" s="2269"/>
    </row>
    <row r="87" spans="1:26">
      <c r="A87" s="2205" t="s">
        <v>511</v>
      </c>
      <c r="B87" s="2279">
        <f t="shared" si="56"/>
        <v>104</v>
      </c>
      <c r="C87" s="2279">
        <f t="shared" si="56"/>
        <v>105</v>
      </c>
      <c r="D87" s="2279">
        <f t="shared" si="20"/>
        <v>105</v>
      </c>
      <c r="E87" s="2279">
        <f t="shared" si="57"/>
        <v>104</v>
      </c>
      <c r="F87" s="2279">
        <f t="shared" si="57"/>
        <v>101</v>
      </c>
      <c r="G87" s="3785">
        <v>2002</v>
      </c>
      <c r="H87" s="2218">
        <v>2</v>
      </c>
      <c r="I87" s="2277"/>
      <c r="J87" s="2277"/>
      <c r="K87" s="2277"/>
      <c r="L87" s="2277"/>
      <c r="X87" s="2269"/>
      <c r="Y87" s="2269"/>
      <c r="Z87" s="2269"/>
    </row>
    <row r="88" spans="1:26" s="2242" customFormat="1" ht="13.5" thickBot="1">
      <c r="A88" s="2238" t="s">
        <v>512</v>
      </c>
      <c r="B88" s="2245">
        <f t="shared" si="56"/>
        <v>103</v>
      </c>
      <c r="C88" s="2245">
        <f t="shared" si="56"/>
        <v>104</v>
      </c>
      <c r="D88" s="2245">
        <f t="shared" si="20"/>
        <v>104</v>
      </c>
      <c r="E88" s="2245">
        <f t="shared" si="57"/>
        <v>103.5</v>
      </c>
      <c r="F88" s="2245">
        <f t="shared" si="57"/>
        <v>100.5</v>
      </c>
      <c r="G88" s="3786">
        <v>2002</v>
      </c>
      <c r="H88" s="2283">
        <v>1</v>
      </c>
      <c r="I88" s="2284"/>
      <c r="J88" s="2284"/>
      <c r="K88" s="2284"/>
      <c r="L88" s="2284"/>
      <c r="N88" s="2285"/>
      <c r="S88" s="2285"/>
      <c r="X88" s="2286"/>
      <c r="Y88" s="2286"/>
      <c r="Z88" s="2286"/>
    </row>
    <row r="89" spans="1:26" ht="13.5" thickBot="1">
      <c r="B89" s="2287">
        <v>102</v>
      </c>
      <c r="C89" s="2288">
        <v>103</v>
      </c>
      <c r="D89" s="2288">
        <f t="shared" si="20"/>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1249.6999999999998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t="e">
        <f ca="1">结果表!D122</f>
        <v>#REF!</v>
      </c>
      <c r="E8" s="3468"/>
      <c r="F8" s="3468"/>
      <c r="G8" s="3468"/>
      <c r="H8" s="3468"/>
      <c r="I8" s="3468"/>
    </row>
    <row r="9" spans="1:9" ht="15">
      <c r="A9" s="3467" t="s">
        <v>927</v>
      </c>
      <c r="B9" s="3467"/>
      <c r="C9" s="3467"/>
      <c r="D9" s="3467" t="e">
        <f ca="1">结果表!D123</f>
        <v>#REF!</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2023-09-22T06:13:36Z</dcterms:modified>
</cp:coreProperties>
</file>